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90" yWindow="555" windowWidth="19815" windowHeight="7365" activeTab="2"/>
  </bookViews>
  <sheets>
    <sheet name="Menu" sheetId="1" r:id="rId1"/>
    <sheet name="Kertas Kerja" sheetId="2" r:id="rId2"/>
    <sheet name="Lap AK Individual" sheetId="3" r:id="rId3"/>
  </sheets>
  <definedNames>
    <definedName name="_xlnm.Print_Area" localSheetId="2">'Lap AK Individual'!$A$1:$E$96</definedName>
    <definedName name="_xlnm.Print_Titles" localSheetId="2">'Lap AK Individual'!$12:$12</definedName>
  </definedNames>
  <calcPr calcId="144525"/>
</workbook>
</file>

<file path=xl/calcChain.xml><?xml version="1.0" encoding="utf-8"?>
<calcChain xmlns="http://schemas.openxmlformats.org/spreadsheetml/2006/main">
  <c r="D96" i="3" l="1"/>
  <c r="D89" i="3"/>
  <c r="D87" i="3"/>
  <c r="B87" i="3"/>
  <c r="D86" i="3"/>
  <c r="B86" i="3"/>
  <c r="D85" i="3"/>
  <c r="B85" i="3"/>
  <c r="D84" i="3"/>
  <c r="B84" i="3"/>
  <c r="D83" i="3"/>
  <c r="B83" i="3"/>
  <c r="E82" i="3"/>
  <c r="H82" i="3" s="1"/>
  <c r="D82" i="3"/>
  <c r="B82" i="3"/>
  <c r="E81" i="3"/>
  <c r="H81" i="3" s="1"/>
  <c r="D81" i="3"/>
  <c r="B81" i="3"/>
  <c r="D80" i="3"/>
  <c r="B80" i="3"/>
  <c r="D79" i="3"/>
  <c r="B79" i="3"/>
  <c r="D78" i="3"/>
  <c r="B78" i="3"/>
  <c r="D77" i="3"/>
  <c r="B77" i="3"/>
  <c r="D76" i="3"/>
  <c r="B76" i="3"/>
  <c r="D75" i="3"/>
  <c r="B75" i="3"/>
  <c r="D74" i="3"/>
  <c r="B74" i="3"/>
  <c r="D73" i="3"/>
  <c r="B73" i="3"/>
  <c r="E72" i="3"/>
  <c r="H72" i="3" s="1"/>
  <c r="D72" i="3"/>
  <c r="B72" i="3"/>
  <c r="D71" i="3"/>
  <c r="B71" i="3"/>
  <c r="D70" i="3"/>
  <c r="B70" i="3"/>
  <c r="D69" i="3"/>
  <c r="B69" i="3"/>
  <c r="D68" i="3"/>
  <c r="B68" i="3"/>
  <c r="D67" i="3"/>
  <c r="B67" i="3"/>
  <c r="D66" i="3"/>
  <c r="B66" i="3"/>
  <c r="E65" i="3"/>
  <c r="H65" i="3" s="1"/>
  <c r="D65" i="3"/>
  <c r="B65" i="3"/>
  <c r="E64" i="3"/>
  <c r="H64" i="3" s="1"/>
  <c r="D64" i="3"/>
  <c r="B64" i="3"/>
  <c r="D63" i="3"/>
  <c r="B63" i="3"/>
  <c r="D62" i="3"/>
  <c r="B62" i="3"/>
  <c r="D61" i="3"/>
  <c r="B61" i="3"/>
  <c r="E60" i="3"/>
  <c r="H60" i="3" s="1"/>
  <c r="D60" i="3"/>
  <c r="B60" i="3"/>
  <c r="D59" i="3"/>
  <c r="B59" i="3"/>
  <c r="D58" i="3"/>
  <c r="B58" i="3"/>
  <c r="D57" i="3"/>
  <c r="B57" i="3"/>
  <c r="D56" i="3"/>
  <c r="B56" i="3"/>
  <c r="D55" i="3"/>
  <c r="B55" i="3"/>
  <c r="D54" i="3"/>
  <c r="B54" i="3"/>
  <c r="D53" i="3"/>
  <c r="B53" i="3"/>
  <c r="D52" i="3"/>
  <c r="B52" i="3"/>
  <c r="D51" i="3"/>
  <c r="B51" i="3"/>
  <c r="D50" i="3"/>
  <c r="B50" i="3"/>
  <c r="D49" i="3"/>
  <c r="B49" i="3"/>
  <c r="H48" i="3"/>
  <c r="D48" i="3"/>
  <c r="B48" i="3"/>
  <c r="D47" i="3"/>
  <c r="B47" i="3"/>
  <c r="D46" i="3"/>
  <c r="B46" i="3"/>
  <c r="D45" i="3"/>
  <c r="B45" i="3"/>
  <c r="H44" i="3"/>
  <c r="D44" i="3"/>
  <c r="B44" i="3"/>
  <c r="H43" i="3"/>
  <c r="E43" i="3"/>
  <c r="D43" i="3"/>
  <c r="B43" i="3"/>
  <c r="D42" i="3"/>
  <c r="B42" i="3"/>
  <c r="D41" i="3"/>
  <c r="B41" i="3"/>
  <c r="D40" i="3"/>
  <c r="B40" i="3"/>
  <c r="D39" i="3"/>
  <c r="B39" i="3"/>
  <c r="D38" i="3"/>
  <c r="B38" i="3"/>
  <c r="H37" i="3"/>
  <c r="E37" i="3"/>
  <c r="D37" i="3"/>
  <c r="B37" i="3"/>
  <c r="D36" i="3"/>
  <c r="B36" i="3"/>
  <c r="D35" i="3"/>
  <c r="B35" i="3"/>
  <c r="H34" i="3"/>
  <c r="D34" i="3"/>
  <c r="B34" i="3"/>
  <c r="D33" i="3"/>
  <c r="B33" i="3"/>
  <c r="D32" i="3"/>
  <c r="B32" i="3"/>
  <c r="H31" i="3"/>
  <c r="E31" i="3"/>
  <c r="D31" i="3"/>
  <c r="B31" i="3"/>
  <c r="D30" i="3"/>
  <c r="B30" i="3"/>
  <c r="D29" i="3"/>
  <c r="B29" i="3"/>
  <c r="D28" i="3"/>
  <c r="B28" i="3"/>
  <c r="D27" i="3"/>
  <c r="B27" i="3"/>
  <c r="D26" i="3"/>
  <c r="B26" i="3"/>
  <c r="D25" i="3"/>
  <c r="B25" i="3"/>
  <c r="D24" i="3"/>
  <c r="B24" i="3"/>
  <c r="D23" i="3"/>
  <c r="B23" i="3"/>
  <c r="D22" i="3"/>
  <c r="B22" i="3"/>
  <c r="D21" i="3"/>
  <c r="B21" i="3"/>
  <c r="D20" i="3"/>
  <c r="B20" i="3"/>
  <c r="D19" i="3"/>
  <c r="B19" i="3"/>
  <c r="D18" i="3"/>
  <c r="B18" i="3"/>
  <c r="D17" i="3"/>
  <c r="B17" i="3"/>
  <c r="D16" i="3"/>
  <c r="B16" i="3"/>
  <c r="D15" i="3"/>
  <c r="B15" i="3"/>
  <c r="D14" i="3"/>
  <c r="B14" i="3"/>
  <c r="D13" i="3"/>
  <c r="B13" i="3"/>
  <c r="D10" i="3"/>
  <c r="D9" i="3"/>
  <c r="D8" i="3"/>
  <c r="D7" i="3"/>
  <c r="G3" i="3"/>
  <c r="B3" i="3"/>
  <c r="F962" i="2"/>
  <c r="E968" i="2" s="1"/>
  <c r="E87" i="3" s="1"/>
  <c r="H87" i="3" s="1"/>
  <c r="F954" i="2"/>
  <c r="E960" i="2" s="1"/>
  <c r="E86" i="3" s="1"/>
  <c r="H86" i="3" s="1"/>
  <c r="F946" i="2"/>
  <c r="E952" i="2" s="1"/>
  <c r="E85" i="3" s="1"/>
  <c r="H85" i="3" s="1"/>
  <c r="F938" i="2"/>
  <c r="E944" i="2" s="1"/>
  <c r="E84" i="3" s="1"/>
  <c r="H84" i="3" s="1"/>
  <c r="E936" i="2"/>
  <c r="E83" i="3" s="1"/>
  <c r="H83" i="3" s="1"/>
  <c r="E934" i="2"/>
  <c r="E913" i="2"/>
  <c r="E908" i="2"/>
  <c r="E907" i="2"/>
  <c r="E906" i="2"/>
  <c r="E890" i="2"/>
  <c r="E885" i="2"/>
  <c r="E880" i="2"/>
  <c r="E875" i="2"/>
  <c r="E870" i="2"/>
  <c r="E865" i="2"/>
  <c r="E891" i="2" s="1"/>
  <c r="E860" i="2"/>
  <c r="E853" i="2"/>
  <c r="E852" i="2"/>
  <c r="E854" i="2" s="1"/>
  <c r="E838" i="2"/>
  <c r="E833" i="2"/>
  <c r="E832" i="2"/>
  <c r="E831" i="2"/>
  <c r="E820" i="2"/>
  <c r="E819" i="2"/>
  <c r="E818" i="2"/>
  <c r="E807" i="2"/>
  <c r="E808" i="2" s="1"/>
  <c r="E791" i="2"/>
  <c r="E809" i="2" s="1"/>
  <c r="E77" i="3" s="1"/>
  <c r="E790" i="2"/>
  <c r="E792" i="2" s="1"/>
  <c r="E779" i="2"/>
  <c r="E780" i="2" s="1"/>
  <c r="D778" i="2"/>
  <c r="D777" i="2"/>
  <c r="D776" i="2"/>
  <c r="E762" i="2"/>
  <c r="E781" i="2" s="1"/>
  <c r="E76" i="3" s="1"/>
  <c r="E761" i="2"/>
  <c r="E760" i="2"/>
  <c r="F745" i="2"/>
  <c r="E751" i="2" s="1"/>
  <c r="E75" i="3" s="1"/>
  <c r="H75" i="3" s="1"/>
  <c r="E739" i="2"/>
  <c r="E743" i="2" s="1"/>
  <c r="E74" i="3" s="1"/>
  <c r="H74" i="3" s="1"/>
  <c r="E727" i="2"/>
  <c r="E731" i="2" s="1"/>
  <c r="E73" i="3" s="1"/>
  <c r="H73" i="3" s="1"/>
  <c r="E710" i="2"/>
  <c r="E716" i="2" s="1"/>
  <c r="E699" i="2"/>
  <c r="E697" i="2"/>
  <c r="E693" i="2"/>
  <c r="E692" i="2"/>
  <c r="E700" i="2" s="1"/>
  <c r="E691" i="2"/>
  <c r="E698" i="2" s="1"/>
  <c r="E680" i="2"/>
  <c r="E675" i="2"/>
  <c r="E674" i="2"/>
  <c r="E673" i="2"/>
  <c r="E663" i="2"/>
  <c r="E666" i="2" s="1"/>
  <c r="E69" i="3" s="1"/>
  <c r="H69" i="3" s="1"/>
  <c r="F648" i="2"/>
  <c r="E654" i="2" s="1"/>
  <c r="E68" i="3" s="1"/>
  <c r="H68" i="3" s="1"/>
  <c r="E644" i="2"/>
  <c r="E646" i="2" s="1"/>
  <c r="E67" i="3" s="1"/>
  <c r="H67" i="3" s="1"/>
  <c r="F633" i="2"/>
  <c r="E639" i="2" s="1"/>
  <c r="E66" i="3" s="1"/>
  <c r="H66" i="3" s="1"/>
  <c r="E622" i="2"/>
  <c r="E624" i="2" s="1"/>
  <c r="F611" i="2"/>
  <c r="E617" i="2" s="1"/>
  <c r="E63" i="3" s="1"/>
  <c r="H63" i="3" s="1"/>
  <c r="E608" i="2"/>
  <c r="F602" i="2"/>
  <c r="E597" i="2"/>
  <c r="E592" i="2"/>
  <c r="E587" i="2"/>
  <c r="E582" i="2"/>
  <c r="E577" i="2"/>
  <c r="E598" i="2" s="1"/>
  <c r="E601" i="2" s="1"/>
  <c r="F564" i="2"/>
  <c r="E570" i="2" s="1"/>
  <c r="E61" i="3" s="1"/>
  <c r="H61" i="3" s="1"/>
  <c r="E562" i="2"/>
  <c r="F536" i="2"/>
  <c r="F530" i="2"/>
  <c r="F524" i="2"/>
  <c r="F516" i="2"/>
  <c r="E522" i="2" s="1"/>
  <c r="E58" i="3" s="1"/>
  <c r="H58" i="3" s="1"/>
  <c r="E514" i="2"/>
  <c r="E57" i="3" s="1"/>
  <c r="H57" i="3" s="1"/>
  <c r="E512" i="2"/>
  <c r="F501" i="2"/>
  <c r="F495" i="2"/>
  <c r="F489" i="2"/>
  <c r="F483" i="2"/>
  <c r="F477" i="2"/>
  <c r="F469" i="2"/>
  <c r="F463" i="2"/>
  <c r="F455" i="2"/>
  <c r="E461" i="2" s="1"/>
  <c r="E54" i="3" s="1"/>
  <c r="H54" i="3" s="1"/>
  <c r="F447" i="2"/>
  <c r="F441" i="2"/>
  <c r="F435" i="2"/>
  <c r="F427" i="2"/>
  <c r="E433" i="2" s="1"/>
  <c r="E52" i="3" s="1"/>
  <c r="H52" i="3" s="1"/>
  <c r="F419" i="2"/>
  <c r="E425" i="2" s="1"/>
  <c r="E51" i="3" s="1"/>
  <c r="H51" i="3" s="1"/>
  <c r="F410" i="2"/>
  <c r="E408" i="2"/>
  <c r="E49" i="3" s="1"/>
  <c r="H49" i="3" s="1"/>
  <c r="E406" i="2"/>
  <c r="E401" i="2"/>
  <c r="E48" i="3" s="1"/>
  <c r="E399" i="2"/>
  <c r="E394" i="2"/>
  <c r="E47" i="3" s="1"/>
  <c r="H47" i="3" s="1"/>
  <c r="E392" i="2"/>
  <c r="F381" i="2"/>
  <c r="F375" i="2"/>
  <c r="F366" i="2"/>
  <c r="E364" i="2"/>
  <c r="E44" i="3" s="1"/>
  <c r="E362" i="2"/>
  <c r="E347" i="2"/>
  <c r="E42" i="3" s="1"/>
  <c r="H42" i="3" s="1"/>
  <c r="E345" i="2"/>
  <c r="E336" i="2"/>
  <c r="E331" i="2"/>
  <c r="E330" i="2"/>
  <c r="E329" i="2"/>
  <c r="E312" i="2"/>
  <c r="E310" i="2"/>
  <c r="E306" i="2"/>
  <c r="E305" i="2"/>
  <c r="E314" i="2" s="1"/>
  <c r="E304" i="2"/>
  <c r="E311" i="2" s="1"/>
  <c r="E293" i="2"/>
  <c r="E288" i="2"/>
  <c r="E287" i="2"/>
  <c r="E286" i="2"/>
  <c r="E277" i="2"/>
  <c r="E279" i="2" s="1"/>
  <c r="E38" i="3" s="1"/>
  <c r="H38" i="3" s="1"/>
  <c r="E262" i="2"/>
  <c r="E265" i="2" s="1"/>
  <c r="E36" i="3" s="1"/>
  <c r="H36" i="3" s="1"/>
  <c r="E252" i="2"/>
  <c r="E257" i="2" s="1"/>
  <c r="E35" i="3" s="1"/>
  <c r="H35" i="3" s="1"/>
  <c r="E244" i="2"/>
  <c r="E247" i="2" s="1"/>
  <c r="E34" i="3" s="1"/>
  <c r="E237" i="2"/>
  <c r="E233" i="2"/>
  <c r="E229" i="2"/>
  <c r="E228" i="2"/>
  <c r="E218" i="2"/>
  <c r="E32" i="3" s="1"/>
  <c r="L32" i="3" s="1"/>
  <c r="E216" i="2"/>
  <c r="E202" i="2"/>
  <c r="E30" i="3" s="1"/>
  <c r="L30" i="3" s="1"/>
  <c r="E200" i="2"/>
  <c r="E195" i="2"/>
  <c r="E29" i="3" s="1"/>
  <c r="F183" i="2"/>
  <c r="F177" i="2"/>
  <c r="E172" i="2"/>
  <c r="E174" i="2" s="1"/>
  <c r="F162" i="2"/>
  <c r="E175" i="2" s="1"/>
  <c r="E27" i="3" s="1"/>
  <c r="H27" i="3" s="1"/>
  <c r="F154" i="2"/>
  <c r="E153" i="2"/>
  <c r="E151" i="2"/>
  <c r="F134" i="2"/>
  <c r="E140" i="2" s="1"/>
  <c r="E25" i="3" s="1"/>
  <c r="H25" i="3" s="1"/>
  <c r="F126" i="2"/>
  <c r="E132" i="2" s="1"/>
  <c r="E24" i="3" s="1"/>
  <c r="J24" i="3" s="1"/>
  <c r="F118" i="2"/>
  <c r="E124" i="2" s="1"/>
  <c r="E23" i="3" s="1"/>
  <c r="H23" i="3" s="1"/>
  <c r="F110" i="2"/>
  <c r="E116" i="2" s="1"/>
  <c r="E22" i="3" s="1"/>
  <c r="H22" i="3" s="1"/>
  <c r="E105" i="2"/>
  <c r="E104" i="2"/>
  <c r="E103" i="2"/>
  <c r="E102" i="2"/>
  <c r="E101" i="2"/>
  <c r="E88" i="2"/>
  <c r="E93" i="2" s="1"/>
  <c r="F75" i="2"/>
  <c r="E81" i="2" s="1"/>
  <c r="E20" i="3" s="1"/>
  <c r="H20" i="3" s="1"/>
  <c r="F67" i="2"/>
  <c r="F61" i="2"/>
  <c r="F53" i="2"/>
  <c r="F47" i="2"/>
  <c r="F39" i="2"/>
  <c r="E45" i="2" s="1"/>
  <c r="E17" i="3" s="1"/>
  <c r="H17" i="3" s="1"/>
  <c r="F31" i="2"/>
  <c r="E37" i="2" s="1"/>
  <c r="E16" i="3" s="1"/>
  <c r="H16" i="3" s="1"/>
  <c r="F23" i="2"/>
  <c r="E29" i="2" s="1"/>
  <c r="E15" i="3" s="1"/>
  <c r="H15" i="3" s="1"/>
  <c r="F15" i="2"/>
  <c r="E21" i="2" s="1"/>
  <c r="E14" i="3" s="1"/>
  <c r="H14" i="3" s="1"/>
  <c r="F7" i="2"/>
  <c r="E13" i="2" s="1"/>
  <c r="E13" i="3" s="1"/>
  <c r="H13" i="3" s="1"/>
  <c r="E160" i="2" l="1"/>
  <c r="E26" i="3" s="1"/>
  <c r="H26" i="3" s="1"/>
  <c r="E59" i="2"/>
  <c r="E18" i="3" s="1"/>
  <c r="H18" i="3" s="1"/>
  <c r="E387" i="2"/>
  <c r="E46" i="3" s="1"/>
  <c r="H46" i="3" s="1"/>
  <c r="E609" i="2"/>
  <c r="E62" i="3" s="1"/>
  <c r="H62" i="3" s="1"/>
  <c r="E554" i="2"/>
  <c r="E59" i="3" s="1"/>
  <c r="H59" i="3" s="1"/>
  <c r="E507" i="2"/>
  <c r="E56" i="3" s="1"/>
  <c r="H56" i="3" s="1"/>
  <c r="E475" i="2"/>
  <c r="E55" i="3" s="1"/>
  <c r="H55" i="3" s="1"/>
  <c r="E189" i="2"/>
  <c r="E28" i="3" s="1"/>
  <c r="H28" i="3" s="1"/>
  <c r="N76" i="3"/>
  <c r="H76" i="3"/>
  <c r="L76" i="3"/>
  <c r="H77" i="3"/>
  <c r="N77" i="3"/>
  <c r="L77" i="3"/>
  <c r="H29" i="3"/>
  <c r="J29" i="3"/>
  <c r="E892" i="2"/>
  <c r="E79" i="3" s="1"/>
  <c r="H79" i="3" s="1"/>
  <c r="E315" i="2"/>
  <c r="E40" i="3" s="1"/>
  <c r="H40" i="3" s="1"/>
  <c r="E702" i="2"/>
  <c r="E71" i="3" s="1"/>
  <c r="H71" i="3" s="1"/>
  <c r="E239" i="2"/>
  <c r="E33" i="3" s="1"/>
  <c r="H33" i="3" s="1"/>
  <c r="E367" i="2"/>
  <c r="E373" i="2" s="1"/>
  <c r="E45" i="3" s="1"/>
  <c r="H45" i="3" s="1"/>
  <c r="E453" i="2"/>
  <c r="E53" i="3" s="1"/>
  <c r="E701" i="2"/>
  <c r="E841" i="2"/>
  <c r="E837" i="2"/>
  <c r="E842" i="2" s="1"/>
  <c r="E843" i="2" s="1"/>
  <c r="E78" i="3" s="1"/>
  <c r="H78" i="3" s="1"/>
  <c r="E839" i="2"/>
  <c r="E840" i="2"/>
  <c r="H30" i="3"/>
  <c r="H32" i="3"/>
  <c r="E73" i="2"/>
  <c r="E19" i="3" s="1"/>
  <c r="H19" i="3" s="1"/>
  <c r="E107" i="2"/>
  <c r="E108" i="2" s="1"/>
  <c r="E21" i="3" s="1"/>
  <c r="H21" i="3" s="1"/>
  <c r="E294" i="2"/>
  <c r="E296" i="2"/>
  <c r="E292" i="2"/>
  <c r="E295" i="2"/>
  <c r="E339" i="2"/>
  <c r="E335" i="2"/>
  <c r="E340" i="2" s="1"/>
  <c r="E41" i="3" s="1"/>
  <c r="H41" i="3" s="1"/>
  <c r="E337" i="2"/>
  <c r="E338" i="2"/>
  <c r="E683" i="2"/>
  <c r="E679" i="2"/>
  <c r="E681" i="2"/>
  <c r="E682" i="2"/>
  <c r="E914" i="2"/>
  <c r="E916" i="2"/>
  <c r="E912" i="2"/>
  <c r="E915" i="2"/>
  <c r="H24" i="3"/>
  <c r="N30" i="3"/>
  <c r="K10" i="3" s="1"/>
  <c r="N32" i="3"/>
  <c r="E313" i="2"/>
  <c r="K9" i="3" l="1"/>
  <c r="E917" i="2"/>
  <c r="E80" i="3" s="1"/>
  <c r="H80" i="3" s="1"/>
  <c r="E297" i="2"/>
  <c r="E39" i="3" s="1"/>
  <c r="H39" i="3" s="1"/>
  <c r="J53" i="3"/>
  <c r="K8" i="3" s="1"/>
  <c r="H53" i="3"/>
  <c r="E684" i="2"/>
  <c r="E70" i="3" s="1"/>
  <c r="H70" i="3" s="1"/>
  <c r="E411" i="2"/>
  <c r="E417" i="2" s="1"/>
  <c r="E50" i="3" s="1"/>
  <c r="H50" i="3" s="1"/>
  <c r="K5" i="3" l="1"/>
</calcChain>
</file>

<file path=xl/sharedStrings.xml><?xml version="1.0" encoding="utf-8"?>
<sst xmlns="http://schemas.openxmlformats.org/spreadsheetml/2006/main" count="1248" uniqueCount="674">
  <si>
    <t>JANGAN DI HAPUS!: 17033-8d761ffea4d1999139264ed28c57038a</t>
  </si>
  <si>
    <t>AKREDITASI PROGRAM STUDI</t>
  </si>
  <si>
    <t>BADAN AKREDITASI NASIONAL - PERGURUAN TINGGI</t>
  </si>
  <si>
    <t>PROGRAM SARJANA</t>
  </si>
  <si>
    <t xml:space="preserve">Nama Perguruan Tinggi </t>
  </si>
  <si>
    <t xml:space="preserve">:   </t>
  </si>
  <si>
    <t>Nama Unit Pengelola</t>
  </si>
  <si>
    <t>Nama Program Studi</t>
  </si>
  <si>
    <t>Kode Panel</t>
  </si>
  <si>
    <t>TS</t>
  </si>
  <si>
    <t>/</t>
  </si>
  <si>
    <t>TS = Tahun akademik penuh terakhir saat pengajuan usulan akreditasi</t>
  </si>
  <si>
    <t>ASESMEN KECUKUPAN</t>
  </si>
  <si>
    <t>(Penilaian Individual)</t>
  </si>
  <si>
    <t>Nama Asesor</t>
  </si>
  <si>
    <t>Kota Penilaian</t>
  </si>
  <si>
    <t>ban-pt</t>
  </si>
  <si>
    <t>versi 1.1</t>
  </si>
  <si>
    <t>Tanggal Penilaian</t>
  </si>
  <si>
    <t>PENILAIAN AKREDITASI PROGRAM STUDI</t>
  </si>
  <si>
    <r>
      <rPr>
        <b/>
        <sz val="12"/>
        <color rgb="FFFFFFFF"/>
        <rFont val="Calibri"/>
      </rPr>
      <t xml:space="preserve">PETUNJUK PENGISIAN: SEL YANG DIISI HANYA YANG BERWARNA </t>
    </r>
    <r>
      <rPr>
        <b/>
        <sz val="12"/>
        <color rgb="FFFFFF00"/>
        <rFont val="Calibri"/>
      </rPr>
      <t>KUNING</t>
    </r>
  </si>
  <si>
    <t xml:space="preserve">NO. </t>
  </si>
  <si>
    <t>ELEMEN</t>
  </si>
  <si>
    <t>INDIKATOR DAN PENILAIAN</t>
  </si>
  <si>
    <t>SKOR</t>
  </si>
  <si>
    <t>DESKRIPSI PENILAIAN ASESOR BERDASARKAN DATA DAN INFORMASI DARI DOKUMEN LED DAN LKPS</t>
  </si>
  <si>
    <t>A</t>
  </si>
  <si>
    <r>
      <rPr>
        <b/>
        <sz val="11"/>
        <color rgb="FF000000"/>
        <rFont val="Calibri"/>
      </rPr>
      <t xml:space="preserve">Kondisi Eksternal
</t>
    </r>
    <r>
      <rPr>
        <sz val="11"/>
        <color rgb="FF000000"/>
        <rFont val="Calibri"/>
      </rPr>
      <t>Konsistensi dengan hasil analisis SWOT dan/atau analisis lain serta rencana pengembangan ke depan.</t>
    </r>
  </si>
  <si>
    <t>Unit Pengelola Program Studi (UPPS) mampu: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t>
  </si>
  <si>
    <t>Unit Pengelola Program Studi (UPPS) mampu:
1) mengidentifikasi kondisi lingkungan dan industri yang relevan secara komprehensif,
2) menetapkan posisi relatif program studi terhadap lingkungannya, dan 
3) menggunakan hasil identifikasi dan posisi yang ditetapkan untuk melakukan analisis (SWOT/metoda analisis lain yang relevan) untuk pengembangan program studi.</t>
  </si>
  <si>
    <t>Unit Pengelola Program Studi (UPPS) mampu:
1) mengidentifikasi kondisi lingkungan dan industri yang relevan, dan
2) menetapkan posisi relatif program studi terhadap lingkungannya.</t>
  </si>
  <si>
    <t>Unit Pengelola Program Studi (UPPS) kurang mampu:
1) mengidentifikasi kondisi lingkungan dan industri yang relevan, dan
2) menetapkan posisi relatif program studi terhadap lingkungannya.</t>
  </si>
  <si>
    <t>Unit Pengelola Program Studi (UPPS) tidak mampu:
1) mengidentifikasi kondisi lingkungan dan industri yang relevan, dan
2) menetapkan posisi relatif program studi terhadap lingkungannya.</t>
  </si>
  <si>
    <t>Skor</t>
  </si>
  <si>
    <t>B</t>
  </si>
  <si>
    <r>
      <rPr>
        <b/>
        <sz val="11"/>
        <color rgb="FF000000"/>
        <rFont val="Calibri"/>
      </rPr>
      <t xml:space="preserve">Profil Unit Pengelola Program Studi
</t>
    </r>
    <r>
      <rPr>
        <sz val="11"/>
        <color rgb="FF000000"/>
        <rFont val="Calibri"/>
      </rPr>
      <t>Keserbacakupan informasi dalam profil dan konsistensi antara profil dengan data dan informasi yang disampaikan pada masing-masing kriteria, serta menunjukkan iklim yang kondusif untuk pengembangan dan reputasi sebagai rujukan di bidang keilmuannya.</t>
    </r>
  </si>
  <si>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t>
  </si>
  <si>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t>
  </si>
  <si>
    <t xml:space="preserve">Profil UPPS:
1) menunjukkan keserbacakupan informasi yang jelas dengan data dan informasi yang disampaikan pada masing-masing kriteria,
2) menggambarkan keselarasan dengan substansi keilmuan program studi. </t>
  </si>
  <si>
    <t xml:space="preserve">Profil UPPS:
1) kurang menunjukkan keserbacakupan informasi yang jelas dengan data dan informasi yang disampaikan pada masing-masing kriteria,
2) kurang menggambarkan keselarasan dengan substansi keilmuan program studi. </t>
  </si>
  <si>
    <t xml:space="preserve">Profil UPPS tidak menunjukkan keserbacakupan informasi yang jelas dengan data dan informasi yang disampaikan pada masing-masing kriteria. </t>
  </si>
  <si>
    <r>
      <rPr>
        <b/>
        <sz val="11"/>
        <color rgb="FF000000"/>
        <rFont val="Calibri"/>
      </rPr>
      <t>C  Kriteria</t>
    </r>
    <r>
      <rPr>
        <sz val="11"/>
        <color rgb="FF000000"/>
        <rFont val="Calibri"/>
      </rPr>
      <t xml:space="preserve">
</t>
    </r>
    <r>
      <rPr>
        <b/>
        <sz val="11"/>
        <color rgb="FF000000"/>
        <rFont val="Calibri"/>
      </rPr>
      <t>C.1 
Visi, Misi, Tujuan dan Strategi</t>
    </r>
    <r>
      <rPr>
        <sz val="11"/>
        <color rgb="FF000000"/>
        <rFont val="Calibri"/>
      </rPr>
      <t xml:space="preserve">
C.1.4 
Indikator Kinerja Utama
</t>
    </r>
  </si>
  <si>
    <t>Kesesuaian Visi, Misi, Tujuan dan Strategi (VMTS) Unit Pengelola Program Studi (UPPS) terhadap VMTS Perguruan Tinggi (PT) dan visi keilmuan Program Studi (PS) yang dikelolanya.</t>
  </si>
  <si>
    <t>UPPS memiliki:
1) visi yang mencerminkan visi perguruan tinggi dan memayungi visi keilmuan terkait keunikan program studi serta didukung data konsistensi implementasinya,
2) misi, tujuan, dan strategi yang searah dan bersinerji dengan misi, tujuan, dan strategi perguruan tinggi serta mendukung pengembangan program studi dengan data konsistensi implementasinya.</t>
  </si>
  <si>
    <t>UPPS memiliki:
1) visi yang mencerminkan visi perguruan tinggi dan memayungi visi keilmuan terkait keunikan program studi,
2) misi, tujuan, dan strategi yang searah dan bersinerji dengan misi, tujuan, dan strategi perguruan tinggi serta mendukung pengembangan program studi.</t>
  </si>
  <si>
    <t>UPPS memiliki: 
1) visi yang mencerminkan visi perguruan tinggi dan memayungi visi keilmuan terkait program studi,
2) misi, tujuan, dan strategi yang searah dengan misi, tujuan, dan strategi perguruan tinggi serta mendukung pengembangan program studi.</t>
  </si>
  <si>
    <t>UPPS memiliki:
1) visi yang mencerminkan visi perguruan tinggi namun tidak memayungi visi keilmuan terkait program studi,
2) misi, tujuan, dan strategi kurang searah dengan misi, tujuan sasaran, dan strategi perguruan tinggi serta kurang mendukung pengembangan program studi.</t>
  </si>
  <si>
    <t>UPPS memiliki misi, tujuan, dan strategi yang tidak terkait dengan strategi perguruan tinggi dan pengembangan program studi.</t>
  </si>
  <si>
    <t>Mekanisme dan keterlibatan pemangku kepentingan dalam penyusunan VMTS UPPS.</t>
  </si>
  <si>
    <t>Ada mekanisme dalam penyusunan dan penetapan visi, misi, tujuan dan strategi yang terdokumentasi serta ada keterlibatan semua pemangku kepentingan internal (dosen, mahasiswa dan tenaga kependidikan) dan eksternal (lulusan, pengguna lulusan dan pakar/mitra/organisasi profesi/pemerintah).</t>
  </si>
  <si>
    <t xml:space="preserve">Ada mekanisme dalam penyusunan dan penetapan visi, misi, tujuan dan strategi yang terdokumentasi serta ada keterlibatan pemangku kepentingan internal (dosen, mahasiswa dan tenaga kependidikan) dan pemangku kepentingan eksternal (lulusan dan pengguna lulusan). </t>
  </si>
  <si>
    <t>Ada mekanisme dalam penyusunan dan penetapan visi, misi, tujuan dan strategi yang terdokumentasi serta ada keterlibatan pemangku kepentingan internal (dosen dan mahasiswa) dan pemangku kepentingan eksternal (lulusan).</t>
  </si>
  <si>
    <t>Ada mekanisme dalam penyusunan dan penetapan visi, misi, tujuan dan strategi yang terdokumentasi namun tidak melibatkan pemangku kepentingan.</t>
  </si>
  <si>
    <t>Tidak ada mekanisme dalam penyusunan dan penetapan visi, misi, tujuan dan strategi.</t>
  </si>
  <si>
    <t xml:space="preserve">Strategi pencapaian tujuan disusun berdasarkan analisis yang sistematis, serta pada pelaksanaannya dilakukan pemantauan dan evaluasi yang ditindaklanjuti. </t>
  </si>
  <si>
    <t>Strategi efektif untuk mencapai tujuan dan disusun berdasarkan analisis yang sistematis dengan menggunakan metoda yang relevan dan terdokumentasi serta pada pelaksanaannya dilakukan pemantauan dan evaluasi dan ditindaklanjuti.</t>
  </si>
  <si>
    <t>Strategi efektif untuk mencapai tujuan dan disusun berdasarkan analisis yang sistematis dengan menggunakan metoda yang relevan dan terdokumentasi serta pada pelaksanaannya dilakukan pemantauan dan evaluasi.</t>
  </si>
  <si>
    <t>Strategi untuk mencapai tujuan dan disusun berdasarkan analisis yang sistematis dengan menggunakan metoda yang relevan serta terdokumentasi namun belum terbukti efektifitasnya.</t>
  </si>
  <si>
    <t>Strategi untuk mencapai tujuan disusun berdasarkan analisis yang kurang sistematis serta tidak menggunakan metoda yang relevan.</t>
  </si>
  <si>
    <t>Tidak memiliki strategi untuk mencapai tujuan.</t>
  </si>
  <si>
    <r>
      <rPr>
        <b/>
        <sz val="11"/>
        <color rgb="FF000000"/>
        <rFont val="Calibri"/>
      </rPr>
      <t>C.2 
Tata Pamong, Tata Kelola, dan Kerjasama</t>
    </r>
    <r>
      <rPr>
        <sz val="11"/>
        <color rgb="FF000000"/>
        <rFont val="Calibri"/>
      </rPr>
      <t xml:space="preserve">
C.2.4 
Indikator Kinerja Utama
C.2.4.a) 
Sistem Tata Pamong</t>
    </r>
  </si>
  <si>
    <t>A. Kelengkapan struktur organisasi dan keefektifan penyelenggaraan organisasi.</t>
  </si>
  <si>
    <t>UPPS memiliki dokumen formal struktur organisasi dan tata kerja yang dilengkapi tugas dan fungsinya, serta telah berjalan secara konsisten dan menjamin tata pamong yang baik serta berjalan efektif dan efisien.</t>
  </si>
  <si>
    <t>UPPS memiliki dokumen formal struktur organisasi dan tata kerja yang dilengkapi tugas dan fungsinya, serta telah berjalan secara konsisten dan menjamin tata pamong yang baik.</t>
  </si>
  <si>
    <t xml:space="preserve">UPPS memiliki dokumen formal struktur organisasi dan tata kerja yang dilengkapi tugas dan fungsinya, serta telah berjalan secara konsisten. </t>
  </si>
  <si>
    <t>UPPS memiliki dokumen formal struktur organisasi dan tata kerja  namun tugas dan fungsi belum berjalan secara konsisten.</t>
  </si>
  <si>
    <t>UPPS tidak memiliki dokumen formal struktur organisasi.</t>
  </si>
  <si>
    <t>B. Perwujudan good governance dan pemenuhan lima pilar sistem tata pamong, yang mencakup: 1) Kredibel, 2) Transparan, 3) Akuntabel, 4) Bertanggung jawab, 5) Adil.</t>
  </si>
  <si>
    <r>
      <t>UPPS memiliki praktek baik (</t>
    </r>
    <r>
      <rPr>
        <i/>
        <sz val="11"/>
        <color rgb="FF000000"/>
        <rFont val="Calibri"/>
      </rPr>
      <t>best practices</t>
    </r>
    <r>
      <rPr>
        <sz val="11"/>
        <color rgb="FF000000"/>
        <rFont val="Calibri"/>
      </rPr>
      <t>) dalam menerapkan tata pamong yang memenuhi 5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</si>
  <si>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4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</si>
  <si>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3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</si>
  <si>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1 s.d. 2 kaidah good governance untuk menjamin penyelenggaraan program studi yang bermutu.</t>
    </r>
  </si>
  <si>
    <t>Tidak ada Skor kurang dari 1.</t>
  </si>
  <si>
    <t>Skor = (A + (2 x B)) / 3</t>
  </si>
  <si>
    <t>C.2.4.b) 
Kepemimpinan dan Kemampuan Manajerial</t>
  </si>
  <si>
    <t>A. Komitmen pimpinan UPPS.</t>
  </si>
  <si>
    <t xml:space="preserve">Terdapat bukti/pengakuan yang sahih bahwa pimpinan UPPS memiliki karakter kepemimpinan operasional, organisasi, dan publik. </t>
  </si>
  <si>
    <t xml:space="preserve">Terdapat bukti/pengakuan yang sahih bahwa pimpinan UPPS memiliki 2 karakter diantara kepemimpinan operasional, organisasi, dan publik. </t>
  </si>
  <si>
    <t xml:space="preserve">Terdapat bukti/pengakuan yang sahih bahwa pimpinan UPPS memiliki salah satu karakter diantara kepemimpinan operasional, organisasi, dan publik. </t>
  </si>
  <si>
    <t>Tidak ada Skor kurang dari 2.</t>
  </si>
  <si>
    <t xml:space="preserve">B. Kapabilitas pimpinan UPPS, mencakup aspek: 1) perencanaan, 2) pengorganisasian, 3) penempatan personel, 4) pelaksanaan, 5) pengendalian dan pengawasan, dan 6) pelaporan yang menjadi dasar tindak lanjut. </t>
  </si>
  <si>
    <t>Pimpinan UPPS mampu :
1) melaksanakan 6 fungsi manajemen secara efektif dan efisien,
2) mengantisipasi dan menyelesaikan masalah pada situasi yang tidak terduga,
3) melakukan inovasi untuk menghasilkan nilai tambah.</t>
  </si>
  <si>
    <t>Pimpinan UPPS mampu :
1) melaksanakan 6 fungsi manajemen secara efektif dan efisien,
2) mengantisipasi dan menyelesaikan masalah pada situasi yang tidak terduga.</t>
  </si>
  <si>
    <t>Pimpinan UPPS mampu melaksanakan 6 fungsi manajemen secara efektif.</t>
  </si>
  <si>
    <t>Pimpinan UPPS mampu melaksanakan kurang dari 6 fungsi manajemen.</t>
  </si>
  <si>
    <t>C.2.4.c) 
Kerjasama</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</si>
  <si>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</si>
  <si>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UPPS memiliki bukti yang sahih terkait kerjasama yang ada telah memenuhi 3 aspek.</t>
  </si>
  <si>
    <t>UPPS memiliki bukti yang sahih terkait kerjasama yang ada telah memenuhi aspek 1 dan 2.</t>
  </si>
  <si>
    <t>UPPS memiliki bukti yang sahih terkait kerjasama yang ada telah memenuhi aspek 1.</t>
  </si>
  <si>
    <t>UPPS tidak memiliki bukti pelaksanaan kerjasama.</t>
  </si>
  <si>
    <t>A. Kerjasama perguruan tinggi di bidang pendidikan, penelitian dan PkM dalam 3 tahun terakhir.
Tabel 1 LKPS</t>
  </si>
  <si>
    <r>
      <t>N</t>
    </r>
    <r>
      <rPr>
        <vertAlign val="subscript"/>
        <sz val="11"/>
        <color rgb="FF000000"/>
        <rFont val="Calibri"/>
      </rPr>
      <t>1</t>
    </r>
    <r>
      <rPr>
        <sz val="11"/>
        <color rgb="FF000000"/>
        <rFont val="Calibri"/>
      </rPr>
      <t xml:space="preserve"> = Jumlah kerjasama pendidikan.</t>
    </r>
  </si>
  <si>
    <t>borang</t>
  </si>
  <si>
    <r>
      <t>N</t>
    </r>
    <r>
      <rPr>
        <vertAlign val="subscript"/>
        <sz val="11"/>
        <color rgb="FF000000"/>
        <rFont val="Calibri"/>
      </rPr>
      <t>2</t>
    </r>
    <r>
      <rPr>
        <sz val="11"/>
        <color rgb="FF000000"/>
        <rFont val="Calibri"/>
      </rPr>
      <t xml:space="preserve"> = Jumlah kerjasama penelitian.</t>
    </r>
  </si>
  <si>
    <r>
      <t>N</t>
    </r>
    <r>
      <rPr>
        <vertAlign val="subscript"/>
        <sz val="11"/>
        <color rgb="FF000000"/>
        <rFont val="Calibri"/>
      </rPr>
      <t>3</t>
    </r>
    <r>
      <rPr>
        <sz val="11"/>
        <color rgb="FF000000"/>
        <rFont val="Calibri"/>
      </rPr>
      <t xml:space="preserve"> = Jumlah kerjasama pengabdian kepada masyarakat.</t>
    </r>
  </si>
  <si>
    <r>
      <t>N</t>
    </r>
    <r>
      <rPr>
        <vertAlign val="subscript"/>
        <sz val="11"/>
        <color rgb="FF000000"/>
        <rFont val="Calibri"/>
      </rPr>
      <t>DTPS</t>
    </r>
    <r>
      <rPr>
        <sz val="11"/>
        <color rgb="FF000000"/>
        <rFont val="Calibri"/>
      </rPr>
      <t xml:space="preserve"> = Jumlah dosen tetap yang ditugaskan sebagai pengampu mata kuliah dengan bidang keahlian yang sesuai dengan kompetensi inti program studi yang diakreditasi.</t>
    </r>
  </si>
  <si>
    <t>RK = ((a x N1) + (b x N2) + (c x N3)) / NDT</t>
  </si>
  <si>
    <t>a =</t>
  </si>
  <si>
    <t xml:space="preserve">b = </t>
  </si>
  <si>
    <t xml:space="preserve">c = </t>
  </si>
  <si>
    <t>bRK =</t>
  </si>
  <si>
    <t>Skor A</t>
  </si>
  <si>
    <t>B. Kerjasama tingkat internasional, nasional, wilayah/lokal yang relevan dengan program studi dan dikelola oleh UPPS dalam 3 tahun terakhir.
Tabel 1 LKPS</t>
  </si>
  <si>
    <r>
      <t>N</t>
    </r>
    <r>
      <rPr>
        <vertAlign val="subscript"/>
        <sz val="11"/>
        <color rgb="FF000000"/>
        <rFont val="Calibri"/>
      </rPr>
      <t>I</t>
    </r>
    <r>
      <rPr>
        <sz val="11"/>
        <color rgb="FF000000"/>
        <rFont val="Calibri"/>
      </rPr>
      <t xml:space="preserve"> = Jumlah kerjasama tingkat internasional.</t>
    </r>
  </si>
  <si>
    <r>
      <t>N</t>
    </r>
    <r>
      <rPr>
        <vertAlign val="subscript"/>
        <sz val="11"/>
        <color rgb="FF000000"/>
        <rFont val="Calibri"/>
      </rPr>
      <t>N</t>
    </r>
    <r>
      <rPr>
        <sz val="11"/>
        <color rgb="FF000000"/>
        <rFont val="Calibri"/>
      </rPr>
      <t xml:space="preserve"> = Jumlah kerjasama tingkat nasional.</t>
    </r>
  </si>
  <si>
    <r>
      <t>N</t>
    </r>
    <r>
      <rPr>
        <vertAlign val="subscript"/>
        <sz val="11"/>
        <color rgb="FF000000"/>
        <rFont val="Calibri"/>
      </rPr>
      <t>W</t>
    </r>
    <r>
      <rPr>
        <sz val="11"/>
        <color rgb="FF000000"/>
        <rFont val="Calibri"/>
      </rPr>
      <t xml:space="preserve"> = Jumlah kerjasama tingkat wilayah/lokal.</t>
    </r>
  </si>
  <si>
    <t xml:space="preserve">4: NI ≥ a </t>
  </si>
  <si>
    <r>
      <t xml:space="preserve">3-4: NI &lt; a DAN NN </t>
    </r>
    <r>
      <rPr>
        <sz val="11"/>
        <color rgb="FFFFFFFF"/>
        <rFont val="Calibri"/>
      </rPr>
      <t>≥</t>
    </r>
    <r>
      <rPr>
        <sz val="11"/>
        <color rgb="FFFFFFFF"/>
        <rFont val="Calibri"/>
      </rPr>
      <t xml:space="preserve"> b</t>
    </r>
  </si>
  <si>
    <t>2-3: 0 &lt; NI &lt; a DAN 0 &lt; NN &lt; b</t>
  </si>
  <si>
    <t>2: NI = 0 DAN NN = 0 DAN NW ≥ c</t>
  </si>
  <si>
    <t>0-2: NI = 0 DAN NN = 0 DAN NW &lt; c</t>
  </si>
  <si>
    <t>Skor B</t>
  </si>
  <si>
    <t>Skor = ((2 x A) + B) / 3</t>
  </si>
  <si>
    <t>C.2.5 
Indikator Kinerja Tambahan</t>
  </si>
  <si>
    <t>Pelampauan SN-DIKTI (indikator kinerja tambahan) yang ditetapkan oleh UPPS pada tiap kriteria.</t>
  </si>
  <si>
    <t>UPPS menetapkan indikator kinerja tambahan berdasarkan standar pendidikan tinggi yang ditetapkan perguruan tinggi. Indikator kinerja tambahan mencakup seluruh kriteria serta menunjukkan daya saing UPPS dan program studi di tingkat inernasional. Data indikator kinerja tambahan telah diukur, dimonitor, dikaji, dan dianalisis untuk perbaikan berkelanjutan.</t>
  </si>
  <si>
    <t>UPPS menetapkan indikator kinerja tambahan berdasarkan standar pendidikan tinggi yang ditetapkan perguruan tinggi. Indikator kinerja tambahan mencakup sebagian kriteria serta menunjukkan daya saing UPPS dan program studi di tingkat nasional. Data indikator kinerja tambahan telah diukur, dimonitor, dikaji, dan dianalisis untuk perbaikan berkelanjutan.</t>
  </si>
  <si>
    <t>UPPS tidak menetapkan indikator kinerja tambahan.</t>
  </si>
  <si>
    <t>C.2.6 
Evaluasi Capaian Kinerja</t>
  </si>
  <si>
    <t>Analisis keberhasilan dan/atau ketidakberhasilan pencapaian kinerja yang telah ditetapkan institusi yang memenuhi 2 aspek sebagai berikut: 
1) capaian kinerja harus diukur dengan metoda yang tepat, dan hasilnya dianalisis serta dievaluasi, dan
2) analisis terhadap capaian kinerja mencakup identifikasi akar masalah, faktor pendukung keberhasilan dan faktor penghambat ketercapaian standar, dan deskripsi singkat tindak lanjut yang akan dilakukan.</t>
  </si>
  <si>
    <t>Analisis pencapaian kinerja UPPS di tiap kriteria memenuhi 2 aspek, dilaksanakan setiap tahun dan hasilnya dipublikasikan kepada para pemangku kepentingan.</t>
  </si>
  <si>
    <t>Analisis pencapaian kinerja UPPS di tiap kriteria memenuhi 2 aspek dan dilaksanakan setiap tahun.</t>
  </si>
  <si>
    <t xml:space="preserve">Analisis pencapaian kinerja UPPS di tiap kriteria memenuhi 2 aspek. </t>
  </si>
  <si>
    <t xml:space="preserve">UPPS memiliki laporan pencapaian kinerja namun belum dianalisis dan dievaluasi. </t>
  </si>
  <si>
    <t xml:space="preserve">UPPS tidak memiliki laporan pencapaian kinerja. </t>
  </si>
  <si>
    <t>C.2.7
Penjaminan Mutu</t>
  </si>
  <si>
    <r>
      <t xml:space="preserve">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t>
    </r>
    <r>
      <rPr>
        <i/>
        <sz val="11"/>
        <color rgb="FF000000"/>
        <rFont val="Calibri"/>
      </rPr>
      <t>external benchmarking</t>
    </r>
    <r>
      <rPr>
        <sz val="11"/>
        <color rgb="FF000000"/>
        <rFont val="Calibri"/>
      </rPr>
      <t xml:space="preserve"> dalam peningkatan mutu.</t>
    </r>
  </si>
  <si>
    <t>UPPS telah melaksanakan SPMI yang memenuhi 5 aspek.</t>
  </si>
  <si>
    <t xml:space="preserve">UPPS telah melaksanakan SPMI yang memenuhi aspek nomor 1 sampai dengan 4. </t>
  </si>
  <si>
    <t>UPPS telah melaksanakan SPMI yang memenuhi aspek nomor 1 sampai dengan 3.</t>
  </si>
  <si>
    <t>UPPS telah melaksanakan SPMI yang memenuhi aspek nomor 1 dan 2, serta siklus kegiatan SPMI baru dilaksanakan pada tahapan penetapan standar dan pelaksanaan standar pendidikan tinggi.</t>
  </si>
  <si>
    <t>UPPS telah memiliki dokumen legal pembentukan unsur pelaksana penjaminan mutu tanpa pelaksanaan SPMI.</t>
  </si>
  <si>
    <t>C.2.8
Kepuasan pemangku kepentingan</t>
  </si>
  <si>
    <t>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</si>
  <si>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UPPS melakukan pengukuran kepuasan kepada seluruh pemangku kepentingan terhadap layanan manajemen yang memenuhi seluruh aspek.</t>
  </si>
  <si>
    <t>UPPS melakukan pengukuran kepuasan kepada seluruh pemangku kepentingan terhadap layanan manajemen yang memenuhi aspek 1 s.d 4 dan salah satu dari aspek 5 atau aspek 6.</t>
  </si>
  <si>
    <t>UPPS melakukan pengukuran kepuasan kepada seluruh pemangku kepentingan terhadap layanan manajemen yang memenuhi aspek 1 s.d 4.</t>
  </si>
  <si>
    <t>UPPS melakukan pengukuran kepuasan kepada sebagian pemangku kepentingan terhadap layanan manajemen yang memenuhi aspek 1 s.d. 4.</t>
  </si>
  <si>
    <t>UPPS tidak melakukan pengukuran kepuasan layanan manajemen.</t>
  </si>
  <si>
    <r>
      <rPr>
        <b/>
        <sz val="11"/>
        <color rgb="FF000000"/>
        <rFont val="Calibri"/>
      </rPr>
      <t>C.3
Mahasiswa</t>
    </r>
    <r>
      <rPr>
        <sz val="11"/>
        <color rgb="FF000000"/>
        <rFont val="Calibri"/>
      </rPr>
      <t xml:space="preserve">
C.3.4 
Indikator Kinerja Utama
C.3.4.a) 
Kualitas Input Mahasiswa</t>
    </r>
  </si>
  <si>
    <t>Metoda rekrutmen dan keketatan seleksi.
Tabel 2.a LKPS</t>
  </si>
  <si>
    <t>Pilih kelompok program studi berdasarkan jumlah kebutuhan lulusan sesuai pilihan yang tersedia.
1: Tinggi; 2: Rendah.</t>
  </si>
  <si>
    <t>Tinggi</t>
  </si>
  <si>
    <t>1: Jumlah kebutuhan lulusan tinggi</t>
  </si>
  <si>
    <t>2: Jumlah kebutuhan lulusan rendah</t>
  </si>
  <si>
    <t>Rendah</t>
  </si>
  <si>
    <t>Untuk program studi dengan jumlah kebutuhan lulusan tinggi berlaku perhitungan Skor sebagai berikut:</t>
  </si>
  <si>
    <r>
      <t>N</t>
    </r>
    <r>
      <rPr>
        <vertAlign val="subscript"/>
        <sz val="11"/>
        <color rgb="FF000000"/>
        <rFont val="Calibri"/>
      </rPr>
      <t>A</t>
    </r>
    <r>
      <rPr>
        <sz val="11"/>
        <color rgb="FF000000"/>
        <rFont val="Calibri"/>
      </rPr>
      <t xml:space="preserve"> = Jumlah calon mahasiswa yang ikut seleksi.</t>
    </r>
  </si>
  <si>
    <r>
      <t>N</t>
    </r>
    <r>
      <rPr>
        <vertAlign val="subscript"/>
        <sz val="11"/>
        <color rgb="FF000000"/>
        <rFont val="Calibri"/>
      </rPr>
      <t>B</t>
    </r>
    <r>
      <rPr>
        <sz val="11"/>
        <color rgb="FF000000"/>
        <rFont val="Calibri"/>
      </rPr>
      <t xml:space="preserve"> = Jumlah calon mahasiswa yang lulus seleksi.</t>
    </r>
  </si>
  <si>
    <r>
      <t>Rasio = N</t>
    </r>
    <r>
      <rPr>
        <vertAlign val="subscript"/>
        <sz val="11"/>
        <color rgb="FF000000"/>
        <rFont val="Calibri"/>
      </rPr>
      <t>A</t>
    </r>
    <r>
      <rPr>
        <sz val="11"/>
        <color rgb="FF000000"/>
        <rFont val="Calibri"/>
      </rPr>
      <t xml:space="preserve"> / N</t>
    </r>
    <r>
      <rPr>
        <vertAlign val="subscript"/>
        <sz val="11"/>
        <color rgb="FF000000"/>
        <rFont val="Calibri"/>
      </rPr>
      <t>B</t>
    </r>
  </si>
  <si>
    <t>b =</t>
  </si>
  <si>
    <t>Untuk program studi dengan jumlah kebutuhan lulusan rendah berlaku pemberian Skor sesuai kondisi berikut:</t>
  </si>
  <si>
    <t>Jika selalu ada mahasiswa baru terdaftar pada TS-4 s.d. TS.</t>
  </si>
  <si>
    <t>Tidak ada skor antara 2 dan 4.</t>
  </si>
  <si>
    <t>Jika tidak selalu ada mahasiswa baru terdaftar pada TS-4 s.d. TS.</t>
  </si>
  <si>
    <t>Tidak ada skor antara 0 dan 2.</t>
  </si>
  <si>
    <t>Jika tidak ada mahasiswa baru terdaftar pada TS-4 s.d. TS.</t>
  </si>
  <si>
    <t>C.3.4.b) Daya Tarik Program Studi</t>
  </si>
  <si>
    <t>A. Peningkatan animo calon mahasiswa.
Tabel 2.a LKPS</t>
  </si>
  <si>
    <t>UPPS melakukan upaya untuk meningkatkan animo calon mahasiswa yang ditunjukkan dengan adanya tren peningkatan jumlah pendaftar secara signifikan (&gt; 10%) dalam 3 tahun terakhir.</t>
  </si>
  <si>
    <t>UPPS melakukan upaya untuk meningkatkan animo calon mahasiswa yang ditunjukkan dengan adanya tren peningkatan jumlah pendaftar dalam 3 tahun terakhir.</t>
  </si>
  <si>
    <t xml:space="preserve">UPPS melakukan upaya untuk meningkatkan animo calon mahasiswa dalam 3 tahun terakhir dengan tren tetap. </t>
  </si>
  <si>
    <t xml:space="preserve">UPPS melakukan upaya untuk meningkatkan animo calon mahasiswa dalam 3 tahun terakhir namun trennya menurun. </t>
  </si>
  <si>
    <t xml:space="preserve">UPPS tidak melakukan upaya untuk meningkatkan animo calon mahasiswa dalam 3 tahun terakhir. </t>
  </si>
  <si>
    <t>B. Mahasiswa asing.
Tabel 2.b LKPS</t>
  </si>
  <si>
    <r>
      <t>N</t>
    </r>
    <r>
      <rPr>
        <vertAlign val="subscript"/>
        <sz val="11"/>
        <color rgb="FF000000"/>
        <rFont val="Calibri"/>
      </rPr>
      <t>MUPPS</t>
    </r>
    <r>
      <rPr>
        <sz val="11"/>
        <color rgb="FF000000"/>
        <rFont val="Calibri"/>
      </rPr>
      <t xml:space="preserve"> = Jumlah mahasiswa aktif di UPPS dalam 3 tahun terakhir (TS-2 s.d. TS).</t>
    </r>
  </si>
  <si>
    <r>
      <t>N</t>
    </r>
    <r>
      <rPr>
        <vertAlign val="subscript"/>
        <sz val="11"/>
        <color rgb="FF000000"/>
        <rFont val="Calibri"/>
      </rPr>
      <t>MAFT</t>
    </r>
    <r>
      <rPr>
        <sz val="11"/>
        <color rgb="FF000000"/>
        <rFont val="Calibri"/>
      </rPr>
      <t xml:space="preserve"> = Jumlah mahasiswa asing penuh waktu dalam 3 tahun terakhir (TS-2 s.d. TS)</t>
    </r>
  </si>
  <si>
    <r>
      <t>N</t>
    </r>
    <r>
      <rPr>
        <vertAlign val="subscript"/>
        <sz val="11"/>
        <color rgb="FF000000"/>
        <rFont val="Calibri"/>
      </rPr>
      <t>MAPT</t>
    </r>
    <r>
      <rPr>
        <sz val="11"/>
        <color rgb="FF000000"/>
        <rFont val="Calibri"/>
      </rPr>
      <t xml:space="preserve"> = Jumlah mahasiswa asing paruh waktu dalam 3 tahun terakhir (TS-2 s.d. TS)</t>
    </r>
  </si>
  <si>
    <r>
      <t>P</t>
    </r>
    <r>
      <rPr>
        <vertAlign val="subscript"/>
        <sz val="11"/>
        <color rgb="FF000000"/>
        <rFont val="Calibri"/>
      </rPr>
      <t>MA</t>
    </r>
    <r>
      <rPr>
        <sz val="11"/>
        <color rgb="FF000000"/>
        <rFont val="Calibri"/>
      </rPr>
      <t xml:space="preserve"> = (N</t>
    </r>
    <r>
      <rPr>
        <vertAlign val="subscript"/>
        <sz val="11"/>
        <color rgb="FF000000"/>
        <rFont val="Calibri"/>
      </rPr>
      <t>MAFT</t>
    </r>
    <r>
      <rPr>
        <sz val="11"/>
        <color rgb="FF000000"/>
        <rFont val="Calibri"/>
      </rPr>
      <t xml:space="preserve"> + N</t>
    </r>
    <r>
      <rPr>
        <vertAlign val="subscript"/>
        <sz val="11"/>
        <color rgb="FF000000"/>
        <rFont val="Calibri"/>
      </rPr>
      <t>MAPT</t>
    </r>
    <r>
      <rPr>
        <sz val="11"/>
        <color rgb="FF000000"/>
        <rFont val="Calibri"/>
      </rPr>
      <t>) / N</t>
    </r>
    <r>
      <rPr>
        <vertAlign val="subscript"/>
        <sz val="11"/>
        <color rgb="FF000000"/>
        <rFont val="Calibri"/>
      </rPr>
      <t>MUPPS</t>
    </r>
  </si>
  <si>
    <t>C.3.4.c) 
Layanan Kemahasiswaan</t>
  </si>
  <si>
    <t>A. Ketersediaan layanan kemahasiswaan di bidang: 
1) penalaran, minat dan bakat,
2) kesejahteraan (bimbingan dan konseling, layanan beasiswa, dan layanan kesehatan), dan
3) bimbingan karir dan kewirausahaan.</t>
  </si>
  <si>
    <t>Jenis layanan mencakup bidang penalaran, minat dan bakat,  kesejahteraan (bimbingan dan konseling, layanan beasiswa, dan layanan kesehatan), dan bimbingan karir dan kewirausahaan.</t>
  </si>
  <si>
    <t>Jenis layanan mencakup bidang penalaran, minat dan bakat, dan kesejahteraan (bimbingan dan konseling, layanan beasiswa, dan layanan kesehatan).</t>
  </si>
  <si>
    <t>Jenis layanan mencakup bidang penalaran, minat dan bakat mahasiswa.</t>
  </si>
  <si>
    <t>Jenis layanan hanya mencakup sebagian bidang penalaran, minat atau bakat.</t>
  </si>
  <si>
    <t>Tidak memiliki layanan kemahasiswaan.</t>
  </si>
  <si>
    <t>B. Akses dan mutu layanan kemahasiswaan.</t>
  </si>
  <si>
    <t>Ada kemudahan akses dan mutu layanan yang baik untuk bidang penalaran, minat bakat mahasiswa dan semua jenis layanan kesehatan.</t>
  </si>
  <si>
    <t>Ada kemudahan akses dan mutu layanan yang baik untuk bidang penalaran, minat bakat mahasiswa dan sebagian layanan kesehatan.</t>
  </si>
  <si>
    <t xml:space="preserve">Ada kemudahan akses dan mutu layanan yang baik untuk bidang penalaran dan minat bakat mahasiswa. </t>
  </si>
  <si>
    <t xml:space="preserve">Mutu layanan kurang baik untuk bidang penalaran atau minat bakat mahasiswa. </t>
  </si>
  <si>
    <r>
      <rPr>
        <b/>
        <sz val="11"/>
        <color rgb="FF000000"/>
        <rFont val="Calibri"/>
      </rPr>
      <t>C.4. Sumber Daya Manusia</t>
    </r>
    <r>
      <rPr>
        <sz val="11"/>
        <color rgb="FF000000"/>
        <rFont val="Calibri"/>
      </rPr>
      <t xml:space="preserve">
C.4.4. Indikator Kinerja Utama
C.4.4.a) Profil Dosen</t>
    </r>
  </si>
  <si>
    <t>Kecukupan jumlah DTPS.
Tabel 3.a.1) LKPS</t>
  </si>
  <si>
    <t>b1 =</t>
  </si>
  <si>
    <t>b2 =</t>
  </si>
  <si>
    <t>Kualifikasi akademik DTPS.
Tabel 3.a.1) LKPS</t>
  </si>
  <si>
    <r>
      <t>N</t>
    </r>
    <r>
      <rPr>
        <vertAlign val="subscript"/>
        <sz val="11"/>
        <color rgb="FF000000"/>
        <rFont val="Calibri"/>
      </rPr>
      <t>DS3</t>
    </r>
    <r>
      <rPr>
        <sz val="11"/>
        <color rgb="FF000000"/>
        <rFont val="Calibri"/>
      </rPr>
      <t xml:space="preserve"> = Jumlah DTPS yang berpendidikan tertinggi Doktor/Doktor Terapan/Subspesialis.</t>
    </r>
  </si>
  <si>
    <r>
      <t>P</t>
    </r>
    <r>
      <rPr>
        <vertAlign val="subscript"/>
        <sz val="11"/>
        <color rgb="FF000000"/>
        <rFont val="Calibri"/>
      </rPr>
      <t>DS3</t>
    </r>
    <r>
      <rPr>
        <sz val="11"/>
        <color rgb="FF000000"/>
        <rFont val="Calibri"/>
      </rPr>
      <t xml:space="preserve"> = (N</t>
    </r>
    <r>
      <rPr>
        <vertAlign val="subscript"/>
        <sz val="11"/>
        <color rgb="FF000000"/>
        <rFont val="Calibri"/>
      </rPr>
      <t>DS3</t>
    </r>
    <r>
      <rPr>
        <sz val="11"/>
        <color rgb="FF000000"/>
        <rFont val="Calibri"/>
      </rPr>
      <t xml:space="preserve"> / N</t>
    </r>
    <r>
      <rPr>
        <vertAlign val="subscript"/>
        <sz val="11"/>
        <color rgb="FF000000"/>
        <rFont val="Calibri"/>
      </rPr>
      <t>DTPS</t>
    </r>
    <r>
      <rPr>
        <sz val="11"/>
        <color rgb="FF000000"/>
        <rFont val="Calibri"/>
      </rPr>
      <t>) x 100%</t>
    </r>
  </si>
  <si>
    <t>Jabatan akademik DTPS.
Tabel 3.a.1) LKPS</t>
  </si>
  <si>
    <r>
      <t>N</t>
    </r>
    <r>
      <rPr>
        <vertAlign val="subscript"/>
        <sz val="11"/>
        <color rgb="FF000000"/>
        <rFont val="Calibri"/>
      </rPr>
      <t>DGB</t>
    </r>
    <r>
      <rPr>
        <sz val="11"/>
        <color rgb="FF000000"/>
        <rFont val="Calibri"/>
      </rPr>
      <t xml:space="preserve"> = Jumlah DTPS yang memiliki jabatan akademik Guru Besar.</t>
    </r>
  </si>
  <si>
    <r>
      <t>N</t>
    </r>
    <r>
      <rPr>
        <vertAlign val="subscript"/>
        <sz val="11"/>
        <color rgb="FF000000"/>
        <rFont val="Calibri"/>
      </rPr>
      <t>DLK</t>
    </r>
    <r>
      <rPr>
        <sz val="11"/>
        <color rgb="FF000000"/>
        <rFont val="Calibri"/>
      </rPr>
      <t xml:space="preserve"> = Jumlah DTPS yang memiliki jabatan akademik Lektor Kepala.</t>
    </r>
  </si>
  <si>
    <r>
      <t>N</t>
    </r>
    <r>
      <rPr>
        <vertAlign val="subscript"/>
        <sz val="11"/>
        <color rgb="FF000000"/>
        <rFont val="Calibri"/>
      </rPr>
      <t>DL</t>
    </r>
    <r>
      <rPr>
        <sz val="11"/>
        <color rgb="FF000000"/>
        <rFont val="Calibri"/>
      </rPr>
      <t xml:space="preserve"> = Jumlah DTPS tetap yang memiliki jabatan akademik Lektor.</t>
    </r>
  </si>
  <si>
    <r>
      <t>P</t>
    </r>
    <r>
      <rPr>
        <vertAlign val="subscript"/>
        <sz val="11"/>
        <color rgb="FF000000"/>
        <rFont val="Calibri"/>
      </rPr>
      <t>GBLKL</t>
    </r>
    <r>
      <rPr>
        <sz val="11"/>
        <color rgb="FF000000"/>
        <rFont val="Calibri"/>
      </rPr>
      <t xml:space="preserve"> = ((N</t>
    </r>
    <r>
      <rPr>
        <vertAlign val="subscript"/>
        <sz val="11"/>
        <color rgb="FF000000"/>
        <rFont val="Calibri"/>
      </rPr>
      <t>DGB</t>
    </r>
    <r>
      <rPr>
        <sz val="11"/>
        <color rgb="FF000000"/>
        <rFont val="Calibri"/>
      </rPr>
      <t xml:space="preserve"> + N</t>
    </r>
    <r>
      <rPr>
        <vertAlign val="subscript"/>
        <sz val="11"/>
        <color rgb="FF000000"/>
        <rFont val="Calibri"/>
      </rPr>
      <t>DLK</t>
    </r>
    <r>
      <rPr>
        <sz val="11"/>
        <color rgb="FF000000"/>
        <rFont val="Calibri"/>
      </rPr>
      <t xml:space="preserve"> + N</t>
    </r>
    <r>
      <rPr>
        <vertAlign val="subscript"/>
        <sz val="11"/>
        <color rgb="FF000000"/>
        <rFont val="Calibri"/>
      </rPr>
      <t>DL</t>
    </r>
    <r>
      <rPr>
        <sz val="11"/>
        <color rgb="FF000000"/>
        <rFont val="Calibri"/>
      </rPr>
      <t>) / N</t>
    </r>
    <r>
      <rPr>
        <vertAlign val="subscript"/>
        <sz val="11"/>
        <color rgb="FF000000"/>
        <rFont val="Calibri"/>
      </rPr>
      <t>DTPS</t>
    </r>
    <r>
      <rPr>
        <sz val="11"/>
        <color rgb="FF000000"/>
        <rFont val="Calibri"/>
      </rPr>
      <t>) x 100%</t>
    </r>
  </si>
  <si>
    <t>Rasio jumlah mahasiswa program studi terhadap jumlah DTPS.
Tabel 2.a LKPS dan Tabel 3.a.1) LKPS</t>
  </si>
  <si>
    <t>Pilih kelompok program studi sesuai pilihan yang tersedia.
1: Saintek (Sains Teknologi); 2: Soshum (Sosial Humaniora)</t>
  </si>
  <si>
    <t>Saintek</t>
  </si>
  <si>
    <t>1: Kelompok Sains Teknologi</t>
  </si>
  <si>
    <t>2: Kelompok Sosial Humaniora</t>
  </si>
  <si>
    <t>Soshum</t>
  </si>
  <si>
    <r>
      <t>N</t>
    </r>
    <r>
      <rPr>
        <vertAlign val="subscript"/>
        <sz val="11"/>
        <color rgb="FF000000"/>
        <rFont val="Calibri"/>
      </rPr>
      <t>M</t>
    </r>
    <r>
      <rPr>
        <sz val="11"/>
        <color rgb="FF000000"/>
        <rFont val="Calibri"/>
      </rPr>
      <t xml:space="preserve"> = Jumlah mahasiswa pada saat TS.</t>
    </r>
  </si>
  <si>
    <r>
      <t>R</t>
    </r>
    <r>
      <rPr>
        <vertAlign val="subscript"/>
        <sz val="11"/>
        <color rgb="FF000000"/>
        <rFont val="Calibri"/>
      </rPr>
      <t>MD</t>
    </r>
    <r>
      <rPr>
        <sz val="11"/>
        <color rgb="FF000000"/>
        <rFont val="Calibri"/>
      </rPr>
      <t xml:space="preserve"> = N</t>
    </r>
    <r>
      <rPr>
        <vertAlign val="subscript"/>
        <sz val="11"/>
        <color rgb="FF000000"/>
        <rFont val="Calibri"/>
      </rPr>
      <t>M</t>
    </r>
    <r>
      <rPr>
        <sz val="11"/>
        <color rgb="FF000000"/>
        <rFont val="Calibri"/>
      </rPr>
      <t xml:space="preserve"> / N</t>
    </r>
    <r>
      <rPr>
        <vertAlign val="subscript"/>
        <sz val="11"/>
        <color rgb="FF000000"/>
        <rFont val="Calibri"/>
      </rPr>
      <t>DTPS</t>
    </r>
  </si>
  <si>
    <t>Skor Saintek</t>
  </si>
  <si>
    <t>b3 =</t>
  </si>
  <si>
    <t>Skor Soshum</t>
  </si>
  <si>
    <t>Lihat nomor butir 14.
Kelompok program studi berdasarkan jumlah kebutuhan lulusan.</t>
  </si>
  <si>
    <t>Untuk program studi dengan jumlah kebutuhan lulusan rendah, berlaku Skor = Skor butir Kualitas Input Mahasiswa</t>
  </si>
  <si>
    <t xml:space="preserve">Penugasan DTPS sebagai pembimbing utama tugas akhir mahasiswa.
Tabel 3.a.2) LKPS </t>
  </si>
  <si>
    <r>
      <t>R</t>
    </r>
    <r>
      <rPr>
        <vertAlign val="subscript"/>
        <sz val="11"/>
        <color rgb="FF000000"/>
        <rFont val="Calibri"/>
      </rPr>
      <t>DPUPS</t>
    </r>
    <r>
      <rPr>
        <sz val="11"/>
        <color rgb="FF000000"/>
        <rFont val="Calibri"/>
      </rPr>
      <t xml:space="preserve"> = Rata-rata jumlah mahasiswa yang dibimbing pada PS yang diakreditasi</t>
    </r>
  </si>
  <si>
    <r>
      <t>R</t>
    </r>
    <r>
      <rPr>
        <vertAlign val="subscript"/>
        <sz val="11"/>
        <color rgb="FF000000"/>
        <rFont val="Calibri"/>
      </rPr>
      <t>DPUL</t>
    </r>
    <r>
      <rPr>
        <sz val="11"/>
        <color rgb="FF000000"/>
        <rFont val="Calibri"/>
      </rPr>
      <t xml:space="preserve"> = Rata-rata jumlah mahasiswa yang dibimbing pada PS lain di PT</t>
    </r>
  </si>
  <si>
    <r>
      <t>R</t>
    </r>
    <r>
      <rPr>
        <vertAlign val="subscript"/>
        <sz val="11"/>
        <color rgb="FF000000"/>
        <rFont val="Calibri"/>
      </rPr>
      <t>DPU</t>
    </r>
    <r>
      <rPr>
        <sz val="11"/>
        <color rgb="FF000000"/>
        <rFont val="Calibri"/>
      </rPr>
      <t xml:space="preserve"> </t>
    </r>
    <r>
      <rPr>
        <sz val="11"/>
        <color rgb="FF000000"/>
        <rFont val="Calibri"/>
      </rPr>
      <t>= (RDUPS + RDPUL) / 2</t>
    </r>
  </si>
  <si>
    <t>Ekuivalensi Waktu Mengajar Penuh DTPS.
Tabel 3.a.3) LKPS</t>
  </si>
  <si>
    <r>
      <t>EWMP</t>
    </r>
    <r>
      <rPr>
        <vertAlign val="subscript"/>
        <sz val="11"/>
        <color rgb="FF000000"/>
        <rFont val="Calibri"/>
      </rPr>
      <t>DT</t>
    </r>
    <r>
      <rPr>
        <sz val="11"/>
        <color rgb="FF000000"/>
        <rFont val="Calibri"/>
      </rPr>
      <t xml:space="preserve"> = Rata-rata EWMP DT per semester pada saat TS.</t>
    </r>
  </si>
  <si>
    <r>
      <t>EWMP</t>
    </r>
    <r>
      <rPr>
        <vertAlign val="subscript"/>
        <sz val="11"/>
        <color rgb="FF000000"/>
        <rFont val="Calibri"/>
      </rPr>
      <t>DTPS</t>
    </r>
    <r>
      <rPr>
        <sz val="11"/>
        <color rgb="FF000000"/>
        <rFont val="Calibri"/>
      </rPr>
      <t xml:space="preserve"> = Rata-rata EWMP DTPS per semester pada saat TS.</t>
    </r>
  </si>
  <si>
    <r>
      <t>EWMP = EWMP</t>
    </r>
    <r>
      <rPr>
        <vertAlign val="subscript"/>
        <sz val="11"/>
        <color rgb="FF000000"/>
        <rFont val="Calibri"/>
      </rPr>
      <t>DTPS</t>
    </r>
  </si>
  <si>
    <t>b4 =</t>
  </si>
  <si>
    <t>Dosen tidak tetap.
Tabel 3.a.4) LKPS</t>
  </si>
  <si>
    <r>
      <t>N</t>
    </r>
    <r>
      <rPr>
        <vertAlign val="subscript"/>
        <sz val="11"/>
        <color rgb="FF000000"/>
        <rFont val="Calibri"/>
      </rPr>
      <t>DTT</t>
    </r>
    <r>
      <rPr>
        <sz val="11"/>
        <color rgb="FF000000"/>
        <rFont val="Calibri"/>
      </rPr>
      <t xml:space="preserve"> = Jumlah dosen tidak tetap yang ditugaskan sebagai pengampu mata kuliah di program studi yang diakreditasi.</t>
    </r>
  </si>
  <si>
    <r>
      <t>N</t>
    </r>
    <r>
      <rPr>
        <vertAlign val="subscript"/>
        <sz val="11"/>
        <color rgb="FF000000"/>
        <rFont val="Calibri"/>
      </rPr>
      <t>DT</t>
    </r>
    <r>
      <rPr>
        <sz val="11"/>
        <color rgb="FF000000"/>
        <rFont val="Calibri"/>
      </rPr>
      <t xml:space="preserve"> = Jumlah dosen tetap yang ditugaskan sebagai pengampu mata kuliah di program studi yang diakreditasi.</t>
    </r>
  </si>
  <si>
    <r>
      <t>P</t>
    </r>
    <r>
      <rPr>
        <vertAlign val="subscript"/>
        <sz val="11"/>
        <color rgb="FF000000"/>
        <rFont val="Calibri"/>
      </rPr>
      <t>DTT</t>
    </r>
    <r>
      <rPr>
        <sz val="11"/>
        <color rgb="FF000000"/>
        <rFont val="Calibri"/>
      </rPr>
      <t xml:space="preserve"> = (N</t>
    </r>
    <r>
      <rPr>
        <vertAlign val="subscript"/>
        <sz val="11"/>
        <color rgb="FF000000"/>
        <rFont val="Calibri"/>
      </rPr>
      <t>DTT</t>
    </r>
    <r>
      <rPr>
        <sz val="11"/>
        <color rgb="FF000000"/>
        <rFont val="Calibri"/>
      </rPr>
      <t xml:space="preserve"> / (N</t>
    </r>
    <r>
      <rPr>
        <vertAlign val="subscript"/>
        <sz val="11"/>
        <color rgb="FF000000"/>
        <rFont val="Calibri"/>
      </rPr>
      <t>DTT</t>
    </r>
    <r>
      <rPr>
        <sz val="11"/>
        <color rgb="FF000000"/>
        <rFont val="Calibri"/>
      </rPr>
      <t xml:space="preserve"> + N</t>
    </r>
    <r>
      <rPr>
        <vertAlign val="subscript"/>
        <sz val="11"/>
        <color rgb="FF000000"/>
        <rFont val="Calibri"/>
      </rPr>
      <t>DT</t>
    </r>
    <r>
      <rPr>
        <sz val="11"/>
        <color rgb="FF000000"/>
        <rFont val="Calibri"/>
      </rPr>
      <t>)) x 100%</t>
    </r>
  </si>
  <si>
    <t>C.4.4.b) Kinerja Dosen</t>
  </si>
  <si>
    <t>Pengakuan/rekognisi atas kepakaran/prestasi/kinerja DTPS.
Pengakuan/rekognisi atas kepakaran/prestasi/kinerja DTPS dapat berupa:
(1) menjadi staf ahli/tenaga ahli/narasumber di lembaga tingkat wilayah/nasional/ internasional pada bidang yang sesuai dengan bidang program studi.
(2) menjadi visiting lecturer atau visiting scholar di program studi/perguruan tinggi terakreditasi A/Unggul atau program studi/perguruan tinggi internasional bereputasi.
(3) menjadi invited speaker pada pertemuan ilmiah tingkat wilayah/nasional/ internasional.
(4) menjadi editor atau mitra bestari pada jurnal nasional terakreditasi/jurnal internasional bereputasi di bidang yang sesuai dengan bidang program studi.
Tabel 3.b.1) LKPS</t>
  </si>
  <si>
    <r>
      <t>N</t>
    </r>
    <r>
      <rPr>
        <vertAlign val="subscript"/>
        <sz val="11"/>
        <color rgb="FF000000"/>
        <rFont val="Calibri"/>
      </rPr>
      <t>RD</t>
    </r>
    <r>
      <rPr>
        <sz val="11"/>
        <color rgb="FF000000"/>
        <rFont val="Calibri"/>
      </rPr>
      <t xml:space="preserve"> = Jumlah pengakuan atas prestasi/kinerja DTPS yang relevan dengan bidang keahlian dalam 3 tahun terakhir.</t>
    </r>
  </si>
  <si>
    <r>
      <t>R</t>
    </r>
    <r>
      <rPr>
        <vertAlign val="subscript"/>
        <sz val="11"/>
        <color rgb="FF000000"/>
        <rFont val="Calibri"/>
      </rPr>
      <t>RD</t>
    </r>
    <r>
      <rPr>
        <sz val="11"/>
        <color rgb="FF000000"/>
        <rFont val="Calibri"/>
      </rPr>
      <t xml:space="preserve"> = N</t>
    </r>
    <r>
      <rPr>
        <vertAlign val="subscript"/>
        <sz val="11"/>
        <color rgb="FF000000"/>
        <rFont val="Calibri"/>
      </rPr>
      <t>RD</t>
    </r>
    <r>
      <rPr>
        <sz val="11"/>
        <color rgb="FF000000"/>
        <rFont val="Calibri"/>
      </rPr>
      <t xml:space="preserve"> / N</t>
    </r>
    <r>
      <rPr>
        <vertAlign val="subscript"/>
        <sz val="11"/>
        <color rgb="FF000000"/>
        <rFont val="Calibri"/>
      </rPr>
      <t>DTPS</t>
    </r>
    <r>
      <rPr>
        <sz val="11"/>
        <color rgb="FF000000"/>
        <rFont val="Calibri"/>
      </rPr>
      <t xml:space="preserve"> </t>
    </r>
  </si>
  <si>
    <t>Kegiatan penelitian DTPS yang relevan dengan bidang program studi dalam 3 tahun terakhir.
Tabel 3.b.2) LKPS</t>
  </si>
  <si>
    <r>
      <t>N</t>
    </r>
    <r>
      <rPr>
        <vertAlign val="subscript"/>
        <sz val="11"/>
        <color rgb="FF000000"/>
        <rFont val="Calibri"/>
      </rPr>
      <t>I</t>
    </r>
    <r>
      <rPr>
        <sz val="11"/>
        <color rgb="FF000000"/>
        <rFont val="Calibri"/>
      </rPr>
      <t xml:space="preserve"> = Jumlah penelitian dengan sumber pembiayaan luar negeri dalam 3 tahun terakhir.</t>
    </r>
  </si>
  <si>
    <r>
      <t>N</t>
    </r>
    <r>
      <rPr>
        <vertAlign val="subscript"/>
        <sz val="11"/>
        <color rgb="FF000000"/>
        <rFont val="Calibri"/>
      </rPr>
      <t>N</t>
    </r>
    <r>
      <rPr>
        <sz val="11"/>
        <color rgb="FF000000"/>
        <rFont val="Calibri"/>
      </rPr>
      <t xml:space="preserve"> = Jumlah penelitian dengan sumber pembiayaan dalam negeri dalam 3 tahun terakhir.</t>
    </r>
  </si>
  <si>
    <r>
      <t>N</t>
    </r>
    <r>
      <rPr>
        <vertAlign val="subscript"/>
        <sz val="11"/>
        <color rgb="FF000000"/>
        <rFont val="Calibri"/>
      </rPr>
      <t>L</t>
    </r>
    <r>
      <rPr>
        <sz val="11"/>
        <color rgb="FF000000"/>
        <rFont val="Calibri"/>
      </rPr>
      <t xml:space="preserve"> = Jumlah penelitian dengan sumber pembiayaan PT/mandiri dalam 3 tahun terakhir.</t>
    </r>
  </si>
  <si>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3 / N</t>
    </r>
    <r>
      <rPr>
        <vertAlign val="subscript"/>
        <sz val="11"/>
        <color rgb="FF000000"/>
        <rFont val="Calibri"/>
      </rPr>
      <t>DTPS</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</si>
  <si>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3 / N</t>
    </r>
    <r>
      <rPr>
        <vertAlign val="subscript"/>
        <sz val="11"/>
        <color rgb="FF000000"/>
        <rFont val="Calibri"/>
      </rPr>
      <t>DTPS</t>
    </r>
  </si>
  <si>
    <r>
      <t>R</t>
    </r>
    <r>
      <rPr>
        <vertAlign val="subscript"/>
        <sz val="11"/>
        <color rgb="FF000000"/>
        <rFont val="Calibri"/>
      </rPr>
      <t>L</t>
    </r>
    <r>
      <rPr>
        <sz val="11"/>
        <color rgb="FF000000"/>
        <rFont val="Calibri"/>
      </rPr>
      <t xml:space="preserve"> = N</t>
    </r>
    <r>
      <rPr>
        <vertAlign val="subscript"/>
        <sz val="11"/>
        <color rgb="FF000000"/>
        <rFont val="Calibri"/>
      </rPr>
      <t>L</t>
    </r>
    <r>
      <rPr>
        <sz val="11"/>
        <color rgb="FF000000"/>
        <rFont val="Calibri"/>
      </rPr>
      <t xml:space="preserve"> / 3 / N</t>
    </r>
    <r>
      <rPr>
        <vertAlign val="subscript"/>
        <sz val="11"/>
        <color rgb="FF000000"/>
        <rFont val="Calibri"/>
      </rPr>
      <t>DTPS</t>
    </r>
  </si>
  <si>
    <t xml:space="preserve">4: RI ≥ a </t>
  </si>
  <si>
    <r>
      <t xml:space="preserve">3-4: RI &lt; a DAN RN </t>
    </r>
    <r>
      <rPr>
        <sz val="11"/>
        <color rgb="FFFFFFFF"/>
        <rFont val="Calibri"/>
      </rPr>
      <t>≥</t>
    </r>
    <r>
      <rPr>
        <sz val="11"/>
        <color rgb="FFFFFFFF"/>
        <rFont val="Calibri"/>
      </rPr>
      <t xml:space="preserve"> b</t>
    </r>
  </si>
  <si>
    <t>2-3: 0 &lt; RI &lt; a DAN 0 &lt; RN &lt; b</t>
  </si>
  <si>
    <t>2: RI = 0 DAN RN = 0 DAN RL ≥ c</t>
  </si>
  <si>
    <t>0-2: RI = 0 DAN RN = 0 DAN RL &lt; c</t>
  </si>
  <si>
    <t>Kegiatan PkM DTPS yang relevan dengan bidang program studi dalam 3 tahun terakhir.
Tabel 3.b.3) LKPS</t>
  </si>
  <si>
    <r>
      <t>N</t>
    </r>
    <r>
      <rPr>
        <vertAlign val="subscript"/>
        <sz val="11"/>
        <color rgb="FF000000"/>
        <rFont val="Calibri"/>
      </rPr>
      <t>I</t>
    </r>
    <r>
      <rPr>
        <sz val="11"/>
        <color rgb="FF000000"/>
        <rFont val="Calibri"/>
      </rPr>
      <t xml:space="preserve"> = Jumlah PkM dengan sumber pembiayaan luar negeri dalam 3 tahun terakhir.</t>
    </r>
  </si>
  <si>
    <r>
      <t>N</t>
    </r>
    <r>
      <rPr>
        <vertAlign val="subscript"/>
        <sz val="11"/>
        <color rgb="FF000000"/>
        <rFont val="Calibri"/>
      </rPr>
      <t>N</t>
    </r>
    <r>
      <rPr>
        <sz val="11"/>
        <color rgb="FF000000"/>
        <rFont val="Calibri"/>
      </rPr>
      <t xml:space="preserve"> = Jumlah PkM dengan sumber pembiayaan dalam negeri dalam 3 tahun terakhir.</t>
    </r>
  </si>
  <si>
    <r>
      <t>N</t>
    </r>
    <r>
      <rPr>
        <vertAlign val="subscript"/>
        <sz val="11"/>
        <color rgb="FF000000"/>
        <rFont val="Calibri"/>
      </rPr>
      <t>L</t>
    </r>
    <r>
      <rPr>
        <sz val="11"/>
        <color rgb="FF000000"/>
        <rFont val="Calibri"/>
      </rPr>
      <t xml:space="preserve"> = Jumlah PkM dengan sumber pembiayaan PT/mandiri dalam 3 tahun terakhir.</t>
    </r>
  </si>
  <si>
    <t>Publikasi ilmiah dengan tema yang relevan dengan bidang program studi yang dihasilkan DTPS dalam 3 tahun terakhir.
Tabel 3.b.4) LKPS</t>
  </si>
  <si>
    <r>
      <t>N</t>
    </r>
    <r>
      <rPr>
        <vertAlign val="subscript"/>
        <sz val="11"/>
        <color rgb="FF000000"/>
        <rFont val="Calibri"/>
      </rPr>
      <t>A1</t>
    </r>
    <r>
      <rPr>
        <sz val="11"/>
        <color rgb="FF000000"/>
        <rFont val="Calibri"/>
      </rPr>
      <t xml:space="preserve"> = Jumlah publikasi di jurnal nasional tidak terakreditasi.</t>
    </r>
  </si>
  <si>
    <r>
      <t>N</t>
    </r>
    <r>
      <rPr>
        <vertAlign val="subscript"/>
        <sz val="11"/>
        <color rgb="FF000000"/>
        <rFont val="Calibri"/>
      </rPr>
      <t>A2</t>
    </r>
    <r>
      <rPr>
        <sz val="11"/>
        <color rgb="FF000000"/>
        <rFont val="Calibri"/>
      </rPr>
      <t xml:space="preserve"> = Jumlah publikasi di jurnal nasional terakreditasi.</t>
    </r>
  </si>
  <si>
    <r>
      <t>N</t>
    </r>
    <r>
      <rPr>
        <vertAlign val="subscript"/>
        <sz val="11"/>
        <color rgb="FF000000"/>
        <rFont val="Calibri"/>
      </rPr>
      <t>A3</t>
    </r>
    <r>
      <rPr>
        <sz val="11"/>
        <color rgb="FF000000"/>
        <rFont val="Calibri"/>
      </rPr>
      <t xml:space="preserve"> = Jumlah publikasi di jurnal internasional.</t>
    </r>
  </si>
  <si>
    <r>
      <t>N</t>
    </r>
    <r>
      <rPr>
        <vertAlign val="subscript"/>
        <sz val="11"/>
        <color rgb="FF000000"/>
        <rFont val="Calibri"/>
      </rPr>
      <t>A4</t>
    </r>
    <r>
      <rPr>
        <sz val="11"/>
        <color rgb="FF000000"/>
        <rFont val="Calibri"/>
      </rPr>
      <t xml:space="preserve"> = Jumlah publikasi di jurnal internasional bereputasi.</t>
    </r>
  </si>
  <si>
    <r>
      <t>N</t>
    </r>
    <r>
      <rPr>
        <vertAlign val="subscript"/>
        <sz val="11"/>
        <color rgb="FF000000"/>
        <rFont val="Calibri"/>
      </rPr>
      <t>B1</t>
    </r>
    <r>
      <rPr>
        <sz val="11"/>
        <color rgb="FF000000"/>
        <rFont val="Calibri"/>
      </rPr>
      <t xml:space="preserve"> = Jumlah publikasi di seminar wilayah/lokal/PT.</t>
    </r>
  </si>
  <si>
    <r>
      <t>N</t>
    </r>
    <r>
      <rPr>
        <vertAlign val="subscript"/>
        <sz val="11"/>
        <color rgb="FF000000"/>
        <rFont val="Calibri"/>
      </rPr>
      <t>B2</t>
    </r>
    <r>
      <rPr>
        <sz val="11"/>
        <color rgb="FF000000"/>
        <rFont val="Calibri"/>
      </rPr>
      <t xml:space="preserve"> = Jumlah publikasi di seminar nasional.</t>
    </r>
  </si>
  <si>
    <r>
      <t>N</t>
    </r>
    <r>
      <rPr>
        <vertAlign val="subscript"/>
        <sz val="11"/>
        <color rgb="FF000000"/>
        <rFont val="Calibri"/>
      </rPr>
      <t>B3</t>
    </r>
    <r>
      <rPr>
        <sz val="11"/>
        <color rgb="FF000000"/>
        <rFont val="Calibri"/>
      </rPr>
      <t xml:space="preserve"> = Jumlah publikasi di seminar internasional.</t>
    </r>
  </si>
  <si>
    <r>
      <t>N</t>
    </r>
    <r>
      <rPr>
        <vertAlign val="subscript"/>
        <sz val="11"/>
        <color rgb="FF000000"/>
        <rFont val="Calibri"/>
      </rPr>
      <t>C1</t>
    </r>
    <r>
      <rPr>
        <sz val="11"/>
        <color rgb="FF000000"/>
        <rFont val="Calibri"/>
      </rPr>
      <t xml:space="preserve"> = Jumlah tulisan di media massa wilayah.</t>
    </r>
  </si>
  <si>
    <r>
      <t>N</t>
    </r>
    <r>
      <rPr>
        <vertAlign val="subscript"/>
        <sz val="11"/>
        <color rgb="FF000000"/>
        <rFont val="Calibri"/>
      </rPr>
      <t>C2</t>
    </r>
    <r>
      <rPr>
        <sz val="11"/>
        <color rgb="FF000000"/>
        <rFont val="Calibri"/>
      </rPr>
      <t xml:space="preserve"> = Jumlah tulisan di media massa nasional.</t>
    </r>
  </si>
  <si>
    <r>
      <t>N</t>
    </r>
    <r>
      <rPr>
        <vertAlign val="subscript"/>
        <sz val="11"/>
        <color rgb="FF000000"/>
        <rFont val="Calibri"/>
      </rPr>
      <t>C3</t>
    </r>
    <r>
      <rPr>
        <sz val="11"/>
        <color rgb="FF000000"/>
        <rFont val="Calibri"/>
      </rPr>
      <t xml:space="preserve"> = Jumlah tulisan di media massa internasional.</t>
    </r>
  </si>
  <si>
    <r>
      <t>R</t>
    </r>
    <r>
      <rPr>
        <vertAlign val="subscript"/>
        <sz val="11"/>
        <color rgb="FF000000"/>
        <rFont val="Calibri"/>
      </rPr>
      <t>I</t>
    </r>
    <r>
      <rPr>
        <sz val="11"/>
        <color rgb="FF000000"/>
        <rFont val="Calibri"/>
      </rPr>
      <t xml:space="preserve"> = (N</t>
    </r>
    <r>
      <rPr>
        <vertAlign val="subscript"/>
        <sz val="11"/>
        <color rgb="FF000000"/>
        <rFont val="Calibri"/>
      </rPr>
      <t>A4</t>
    </r>
    <r>
      <rPr>
        <sz val="11"/>
        <color rgb="FF000000"/>
        <rFont val="Calibri"/>
      </rPr>
      <t xml:space="preserve"> + N</t>
    </r>
    <r>
      <rPr>
        <vertAlign val="subscript"/>
        <sz val="11"/>
        <color rgb="FF000000"/>
        <rFont val="Calibri"/>
      </rPr>
      <t>B3</t>
    </r>
    <r>
      <rPr>
        <sz val="11"/>
        <color rgb="FF000000"/>
        <rFont val="Calibri"/>
      </rPr>
      <t xml:space="preserve"> + N</t>
    </r>
    <r>
      <rPr>
        <vertAlign val="subscript"/>
        <sz val="11"/>
        <color rgb="FF000000"/>
        <rFont val="Calibri"/>
      </rPr>
      <t>C3</t>
    </r>
    <r>
      <rPr>
        <sz val="11"/>
        <color rgb="FF000000"/>
        <rFont val="Calibri"/>
      </rPr>
      <t>) / N</t>
    </r>
    <r>
      <rPr>
        <vertAlign val="subscript"/>
        <sz val="11"/>
        <color rgb="FF000000"/>
        <rFont val="Calibri"/>
      </rPr>
      <t>DTPS</t>
    </r>
  </si>
  <si>
    <r>
      <t>R</t>
    </r>
    <r>
      <rPr>
        <vertAlign val="subscript"/>
        <sz val="11"/>
        <color rgb="FF000000"/>
        <rFont val="Calibri"/>
      </rPr>
      <t>N</t>
    </r>
    <r>
      <rPr>
        <sz val="11"/>
        <color rgb="FF000000"/>
        <rFont val="Calibri"/>
      </rPr>
      <t xml:space="preserve"> = (N</t>
    </r>
    <r>
      <rPr>
        <vertAlign val="subscript"/>
        <sz val="11"/>
        <color rgb="FF000000"/>
        <rFont val="Calibri"/>
      </rPr>
      <t>A2</t>
    </r>
    <r>
      <rPr>
        <sz val="11"/>
        <color rgb="FF000000"/>
        <rFont val="Calibri"/>
      </rPr>
      <t xml:space="preserve"> + N</t>
    </r>
    <r>
      <rPr>
        <vertAlign val="subscript"/>
        <sz val="11"/>
        <color rgb="FF000000"/>
        <rFont val="Calibri"/>
      </rPr>
      <t>A3</t>
    </r>
    <r>
      <rPr>
        <sz val="11"/>
        <color rgb="FF000000"/>
        <rFont val="Calibri"/>
      </rPr>
      <t xml:space="preserve"> + N</t>
    </r>
    <r>
      <rPr>
        <vertAlign val="subscript"/>
        <sz val="11"/>
        <color rgb="FF000000"/>
        <rFont val="Calibri"/>
      </rPr>
      <t>B2</t>
    </r>
    <r>
      <rPr>
        <sz val="11"/>
        <color rgb="FF000000"/>
        <rFont val="Calibri"/>
      </rPr>
      <t xml:space="preserve"> + N</t>
    </r>
    <r>
      <rPr>
        <vertAlign val="subscript"/>
        <sz val="11"/>
        <color rgb="FF000000"/>
        <rFont val="Calibri"/>
      </rPr>
      <t>C2</t>
    </r>
    <r>
      <rPr>
        <sz val="11"/>
        <color rgb="FF000000"/>
        <rFont val="Calibri"/>
      </rPr>
      <t>) / N</t>
    </r>
    <r>
      <rPr>
        <vertAlign val="subscript"/>
        <sz val="11"/>
        <color rgb="FF000000"/>
        <rFont val="Calibri"/>
      </rPr>
      <t>DTPS</t>
    </r>
  </si>
  <si>
    <r>
      <t>R</t>
    </r>
    <r>
      <rPr>
        <vertAlign val="subscript"/>
        <sz val="11"/>
        <color rgb="FF000000"/>
        <rFont val="Calibri"/>
      </rPr>
      <t>W</t>
    </r>
    <r>
      <rPr>
        <sz val="11"/>
        <color rgb="FF000000"/>
        <rFont val="Calibri"/>
      </rPr>
      <t xml:space="preserve"> = (N</t>
    </r>
    <r>
      <rPr>
        <vertAlign val="subscript"/>
        <sz val="11"/>
        <color rgb="FF000000"/>
        <rFont val="Calibri"/>
      </rPr>
      <t>A1</t>
    </r>
    <r>
      <rPr>
        <sz val="11"/>
        <color rgb="FF000000"/>
        <rFont val="Calibri"/>
      </rPr>
      <t xml:space="preserve"> + N</t>
    </r>
    <r>
      <rPr>
        <vertAlign val="subscript"/>
        <sz val="11"/>
        <color rgb="FF000000"/>
        <rFont val="Calibri"/>
      </rPr>
      <t>B1</t>
    </r>
    <r>
      <rPr>
        <sz val="11"/>
        <color rgb="FF000000"/>
        <rFont val="Calibri"/>
      </rPr>
      <t xml:space="preserve"> + N</t>
    </r>
    <r>
      <rPr>
        <vertAlign val="subscript"/>
        <sz val="11"/>
        <color rgb="FF000000"/>
        <rFont val="Calibri"/>
      </rPr>
      <t>C1</t>
    </r>
    <r>
      <rPr>
        <sz val="11"/>
        <color rgb="FF000000"/>
        <rFont val="Calibri"/>
      </rPr>
      <t>) / N</t>
    </r>
    <r>
      <rPr>
        <vertAlign val="subscript"/>
        <sz val="11"/>
        <color rgb="FF000000"/>
        <rFont val="Calibri"/>
      </rPr>
      <t>DTPS</t>
    </r>
  </si>
  <si>
    <t>Artikel karya ilmiah DTPS yang disitasi dalam 3 tahun terakhir.
Tabel 3.b.5) LKPS</t>
  </si>
  <si>
    <r>
      <t>N</t>
    </r>
    <r>
      <rPr>
        <vertAlign val="subscript"/>
        <sz val="11"/>
        <color rgb="FF000000"/>
        <rFont val="Calibri"/>
      </rPr>
      <t>AS</t>
    </r>
    <r>
      <rPr>
        <sz val="11"/>
        <color rgb="FF000000"/>
        <rFont val="Calibri"/>
      </rPr>
      <t xml:space="preserve"> = Jumlah judul artikel yang disitasi.</t>
    </r>
  </si>
  <si>
    <r>
      <t>R</t>
    </r>
    <r>
      <rPr>
        <vertAlign val="subscript"/>
        <sz val="11"/>
        <color rgb="FF000000"/>
        <rFont val="Calibri"/>
      </rPr>
      <t>S</t>
    </r>
    <r>
      <rPr>
        <sz val="11"/>
        <color rgb="FF000000"/>
        <rFont val="Calibri"/>
      </rPr>
      <t xml:space="preserve"> = N</t>
    </r>
    <r>
      <rPr>
        <vertAlign val="subscript"/>
        <sz val="11"/>
        <color rgb="FF000000"/>
        <rFont val="Calibri"/>
      </rPr>
      <t>AS</t>
    </r>
    <r>
      <rPr>
        <sz val="11"/>
        <color rgb="FF000000"/>
        <rFont val="Calibri"/>
      </rPr>
      <t xml:space="preserve"> / N</t>
    </r>
    <r>
      <rPr>
        <vertAlign val="subscript"/>
        <sz val="11"/>
        <color rgb="FF000000"/>
        <rFont val="Calibri"/>
      </rPr>
      <t>DTPS</t>
    </r>
  </si>
  <si>
    <t>Luaran penelitian dan PkM yang dihasilkan DTPS dalam 3 tahun terakhir.
Tabel 3.b.7) LKPS</t>
  </si>
  <si>
    <r>
      <t>N</t>
    </r>
    <r>
      <rPr>
        <vertAlign val="subscript"/>
        <sz val="11"/>
        <color rgb="FF000000"/>
        <rFont val="Calibri"/>
      </rPr>
      <t>A</t>
    </r>
    <r>
      <rPr>
        <sz val="11"/>
        <color rgb="FF000000"/>
        <rFont val="Calibri"/>
      </rPr>
      <t xml:space="preserve"> = Jumlah luaran penelitian/PkM yang mendapat pengakuan HKI (Paten, Paten Sederhana)</t>
    </r>
  </si>
  <si>
    <r>
      <t>N</t>
    </r>
    <r>
      <rPr>
        <vertAlign val="subscript"/>
        <sz val="11"/>
        <color rgb="FF000000"/>
        <rFont val="Calibri"/>
      </rPr>
      <t>B</t>
    </r>
    <r>
      <rPr>
        <sz val="11"/>
        <color rgb="FF000000"/>
        <rFont val="Calibri"/>
      </rPr>
      <t xml:space="preserve"> = Jumlah luaran penelitian/PkM yang mendapat pengakuan HKI (Hak Cipta, Desain Produk Industri, Perlindungan Varietas Tanaman, Desain Tata Letak Sirkuit Terpadu, dll.)</t>
    </r>
  </si>
  <si>
    <r>
      <t>N</t>
    </r>
    <r>
      <rPr>
        <vertAlign val="subscript"/>
        <sz val="11"/>
        <color rgb="FF000000"/>
        <rFont val="Calibri"/>
      </rPr>
      <t>C</t>
    </r>
    <r>
      <rPr>
        <sz val="11"/>
        <color rgb="FF000000"/>
        <rFont val="Calibri"/>
      </rPr>
      <t xml:space="preserve"> = Jumlah luaran penelitian/PkM dalam bentuk Teknologi Tepat Guna, Produk (Produk Terstandarisasi, Produk Tersertifikasi), Karya Seni, Rekayasa Sosial.</t>
    </r>
  </si>
  <si>
    <r>
      <t>N</t>
    </r>
    <r>
      <rPr>
        <vertAlign val="subscript"/>
        <sz val="11"/>
        <color rgb="FF000000"/>
        <rFont val="Calibri"/>
      </rPr>
      <t>D</t>
    </r>
    <r>
      <rPr>
        <sz val="11"/>
        <color rgb="FF000000"/>
        <rFont val="Calibri"/>
      </rPr>
      <t xml:space="preserve"> = Jumlah luaran penelitian/PkM yang diterbitkan dalam bentuk Buku ber-ISBN, </t>
    </r>
    <r>
      <rPr>
        <i/>
        <sz val="11"/>
        <color rgb="FF000000"/>
        <rFont val="Calibri"/>
      </rPr>
      <t>Book Chapter</t>
    </r>
    <r>
      <rPr>
        <sz val="11"/>
        <color rgb="FF000000"/>
        <rFont val="Calibri"/>
      </rPr>
      <t>.</t>
    </r>
  </si>
  <si>
    <r>
      <t>R</t>
    </r>
    <r>
      <rPr>
        <vertAlign val="subscript"/>
        <sz val="11"/>
        <color rgb="FF000000"/>
        <rFont val="Calibri"/>
      </rPr>
      <t>LP</t>
    </r>
    <r>
      <rPr>
        <sz val="11"/>
        <color rgb="FF000000"/>
        <rFont val="Calibri"/>
      </rPr>
      <t xml:space="preserve"> = (2 x (N</t>
    </r>
    <r>
      <rPr>
        <vertAlign val="subscript"/>
        <sz val="11"/>
        <color rgb="FF000000"/>
        <rFont val="Calibri"/>
      </rPr>
      <t>A</t>
    </r>
    <r>
      <rPr>
        <sz val="11"/>
        <color rgb="FF000000"/>
        <rFont val="Calibri"/>
      </rPr>
      <t xml:space="preserve"> + N</t>
    </r>
    <r>
      <rPr>
        <vertAlign val="subscript"/>
        <sz val="11"/>
        <color rgb="FF000000"/>
        <rFont val="Calibri"/>
      </rPr>
      <t>B</t>
    </r>
    <r>
      <rPr>
        <sz val="11"/>
        <color rgb="FF000000"/>
        <rFont val="Calibri"/>
      </rPr>
      <t xml:space="preserve"> + N</t>
    </r>
    <r>
      <rPr>
        <vertAlign val="subscript"/>
        <sz val="11"/>
        <color rgb="FF000000"/>
        <rFont val="Calibri"/>
      </rPr>
      <t>C</t>
    </r>
    <r>
      <rPr>
        <sz val="11"/>
        <color rgb="FF000000"/>
        <rFont val="Calibri"/>
      </rPr>
      <t>) + N</t>
    </r>
    <r>
      <rPr>
        <vertAlign val="subscript"/>
        <sz val="11"/>
        <color rgb="FF000000"/>
        <rFont val="Calibri"/>
      </rPr>
      <t>D</t>
    </r>
    <r>
      <rPr>
        <sz val="11"/>
        <color rgb="FF000000"/>
        <rFont val="Calibri"/>
      </rPr>
      <t>) / N</t>
    </r>
    <r>
      <rPr>
        <vertAlign val="subscript"/>
        <sz val="11"/>
        <color rgb="FF000000"/>
        <rFont val="Calibri"/>
      </rPr>
      <t>DTPS</t>
    </r>
  </si>
  <si>
    <t>C.4.4.c) Pengembangan Dosen</t>
  </si>
  <si>
    <r>
      <t xml:space="preserve">Upaya pengembangan dosen.
Catatan: Jika Skor rata-rata butir Profil Dosen </t>
    </r>
    <r>
      <rPr>
        <sz val="11"/>
        <color rgb="FF000000"/>
        <rFont val="Calibri"/>
      </rPr>
      <t>≥</t>
    </r>
    <r>
      <rPr>
        <sz val="11"/>
        <color rgb="FF000000"/>
        <rFont val="Calibri"/>
      </rPr>
      <t xml:space="preserve"> 3,5 , maka Skor = 4.</t>
    </r>
  </si>
  <si>
    <t>Skor rata-rata butir Profil Dosen</t>
  </si>
  <si>
    <t>UPPS merencanakan dan mengembangkan DTPS mengikuti rencana pengembangan SDM di perguruan tinggi (Renstra PT) secara konsisten.</t>
  </si>
  <si>
    <t>UPPS merencanakan dan mengembangkan DTPS mengikuti rencana pengembangan SDM di perguruan tinggi (Renstra PT).</t>
  </si>
  <si>
    <t>UPPS mengembangkan DTPS mengikuti rencana pengembangan SDM di perguruan tinggi (Renstra PT).</t>
  </si>
  <si>
    <t>UPPS mengembangkan DTPS tidak mengikuti atau tidak sesuai dengan rencana pengembangan SDM di perguruan tinggi (Renstra PT).</t>
  </si>
  <si>
    <t>Perguruan tinggi dan/atau UPPS tidak memiliki rencana pengembangan SDM.</t>
  </si>
  <si>
    <t>C.4.4.d) Tenaga Kependidikan</t>
  </si>
  <si>
    <t>A. Kualifikasi dan kecukupan tenaga kependidikan berdasarkan jenis pekerjaannya (administrasi, pustakawan, teknisi, dll.)
Catatan: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</si>
  <si>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</si>
  <si>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UPPS memiliki tenaga kependidikan yang memenuhi tingkat kecukupan dan kualifikasi berdasarkan kebutuhan layanan program studi dan mendukung pelaksanaan akademik dan fungsi unit pengelola.</t>
  </si>
  <si>
    <t>UPPS memiliki tenaga kependidikan yang memenuhi tingkat kecukupan dan kualifikasi berdasarkan kebutuhan layanan program studi dan mendukung pelaksanaan akademik.</t>
  </si>
  <si>
    <t>UPPS memiliki tenaga kependidikan yang memenuhi tingkat kecukupan dan/atau kualifikasi berdasarkan kebutuhan layanan program studi dan mendukung pelaksanaan akademik.</t>
  </si>
  <si>
    <t>UPPS memiliki tenaga kependidikan yang tidak memenuhi tingkat kecukupan dan kualifikasi berdasarkan kebutuhan layanan program studi.</t>
  </si>
  <si>
    <r>
      <rPr>
        <b/>
        <sz val="11"/>
        <color rgb="FF000000"/>
        <rFont val="Calibri"/>
      </rPr>
      <t>C.5. Keuangan, Sarana dan Prasarana</t>
    </r>
    <r>
      <rPr>
        <sz val="11"/>
        <color rgb="FF000000"/>
        <rFont val="Calibri"/>
      </rPr>
      <t xml:space="preserve">
C.5.4. Indikator Kinerja Utama
C.5.4.a) Keuangan</t>
    </r>
  </si>
  <si>
    <t>Biaya operasional pendidikan.
Tabel 4 LKPS</t>
  </si>
  <si>
    <r>
      <t>B</t>
    </r>
    <r>
      <rPr>
        <vertAlign val="subscript"/>
        <sz val="11"/>
        <color rgb="FF000000"/>
        <rFont val="Calibri"/>
      </rPr>
      <t>OP</t>
    </r>
    <r>
      <rPr>
        <sz val="11"/>
        <color rgb="FF000000"/>
        <rFont val="Calibri"/>
      </rPr>
      <t xml:space="preserve"> = Biaya operasional pendidikan dalam 3 tahun terakhir.</t>
    </r>
  </si>
  <si>
    <r>
      <t>N</t>
    </r>
    <r>
      <rPr>
        <vertAlign val="subscript"/>
        <sz val="11"/>
        <color rgb="FF000000"/>
        <rFont val="Calibri"/>
      </rPr>
      <t>M</t>
    </r>
    <r>
      <rPr>
        <sz val="11"/>
        <color rgb="FF000000"/>
        <rFont val="Calibri"/>
      </rPr>
      <t xml:space="preserve"> = Jumlah mahasiswa aktif pada saat TS.</t>
    </r>
  </si>
  <si>
    <r>
      <t>D</t>
    </r>
    <r>
      <rPr>
        <vertAlign val="subscript"/>
        <sz val="11"/>
        <color rgb="FF000000"/>
        <rFont val="Calibri"/>
      </rPr>
      <t>OP</t>
    </r>
    <r>
      <rPr>
        <sz val="11"/>
        <color rgb="FF000000"/>
        <rFont val="Calibri"/>
      </rPr>
      <t xml:space="preserve"> = Rata-rata dana operasional pendidikan/mahasiswa/ tahun dalam 3 tahun terakhir = B</t>
    </r>
    <r>
      <rPr>
        <vertAlign val="subscript"/>
        <sz val="11"/>
        <color rgb="FF000000"/>
        <rFont val="Calibri"/>
      </rPr>
      <t>OP</t>
    </r>
    <r>
      <rPr>
        <sz val="11"/>
        <color rgb="FF000000"/>
        <rFont val="Calibri"/>
      </rPr>
      <t xml:space="preserve"> / 3 / N</t>
    </r>
    <r>
      <rPr>
        <vertAlign val="subscript"/>
        <sz val="11"/>
        <color rgb="FF000000"/>
        <rFont val="Calibri"/>
      </rPr>
      <t>M</t>
    </r>
  </si>
  <si>
    <t>Dana penelitian DTPS.
Tabel 4 LKPS</t>
  </si>
  <si>
    <r>
      <t>D</t>
    </r>
    <r>
      <rPr>
        <vertAlign val="subscript"/>
        <sz val="11"/>
        <color rgb="FF000000"/>
        <rFont val="Calibri"/>
      </rPr>
      <t>P</t>
    </r>
    <r>
      <rPr>
        <sz val="11"/>
        <color rgb="FF000000"/>
        <rFont val="Calibri"/>
      </rPr>
      <t xml:space="preserve"> = Jumlah dana penelitian yang diperoleh dosen tetap dalam 3 tahun terakhir.</t>
    </r>
  </si>
  <si>
    <r>
      <t>D</t>
    </r>
    <r>
      <rPr>
        <vertAlign val="subscript"/>
        <sz val="11"/>
        <color rgb="FF000000"/>
        <rFont val="Calibri"/>
      </rPr>
      <t>PD</t>
    </r>
    <r>
      <rPr>
        <sz val="11"/>
        <color rgb="FF000000"/>
        <rFont val="Calibri"/>
      </rPr>
      <t xml:space="preserve"> = Rata-rata dana penelitian DTPS/ tahun dalam 3 tahun terakhir = D</t>
    </r>
    <r>
      <rPr>
        <vertAlign val="subscript"/>
        <sz val="11"/>
        <color rgb="FF000000"/>
        <rFont val="Calibri"/>
      </rPr>
      <t>P</t>
    </r>
    <r>
      <rPr>
        <sz val="11"/>
        <color rgb="FF000000"/>
        <rFont val="Calibri"/>
      </rPr>
      <t xml:space="preserve"> / 3 / N</t>
    </r>
    <r>
      <rPr>
        <vertAlign val="subscript"/>
        <sz val="11"/>
        <color rgb="FF000000"/>
        <rFont val="Calibri"/>
      </rPr>
      <t>DTPS</t>
    </r>
  </si>
  <si>
    <t>Dana pengabdian kepada masyarakat DTPS.
Tabel 4 LKPS</t>
  </si>
  <si>
    <r>
      <t>D</t>
    </r>
    <r>
      <rPr>
        <vertAlign val="subscript"/>
        <sz val="11"/>
        <color rgb="FF000000"/>
        <rFont val="Calibri"/>
      </rPr>
      <t>PkM</t>
    </r>
    <r>
      <rPr>
        <sz val="11"/>
        <color rgb="FF000000"/>
        <rFont val="Calibri"/>
      </rPr>
      <t xml:space="preserve"> = Jumlah dana PkM yang diperoleh dosen tetap dalam 3 tahun terakhir.</t>
    </r>
  </si>
  <si>
    <r>
      <t>D</t>
    </r>
    <r>
      <rPr>
        <vertAlign val="subscript"/>
        <sz val="11"/>
        <color rgb="FF000000"/>
        <rFont val="Calibri"/>
      </rPr>
      <t>PkMD</t>
    </r>
    <r>
      <rPr>
        <sz val="11"/>
        <color rgb="FF000000"/>
        <rFont val="Calibri"/>
      </rPr>
      <t xml:space="preserve"> = Rata-rata dana PkM DTPS/ tahun dalam 3 tahun terakhir = D</t>
    </r>
    <r>
      <rPr>
        <vertAlign val="subscript"/>
        <sz val="11"/>
        <color rgb="FF000000"/>
        <rFont val="Calibri"/>
      </rPr>
      <t>PkM</t>
    </r>
    <r>
      <rPr>
        <sz val="11"/>
        <color rgb="FF000000"/>
        <rFont val="Calibri"/>
      </rPr>
      <t xml:space="preserve"> / 3 / N</t>
    </r>
    <r>
      <rPr>
        <vertAlign val="subscript"/>
        <sz val="11"/>
        <color rgb="FF000000"/>
        <rFont val="Calibri"/>
      </rPr>
      <t>DTPS</t>
    </r>
  </si>
  <si>
    <t>Realisasi investasi (SDM, sarana dan prasarana) yang mendukung penyelenggaraan tridharma.
Catatan: Jika Skor rata-rata butir tentang Profil Dosen, Sarana, dan Prasarana ≥ 3,5 , maka Skor butir ini = 4.</t>
  </si>
  <si>
    <t>Skor rata-rata butir Profil Dosen, Sarana dan Prasarana</t>
  </si>
  <si>
    <t>Persentase realisasi dana untuk investasi SDM serta Sarana dan Prasarana telah sesuai dengan perencanaan investasi serta melebihi standar pembelajaran, penelitian dan PkM untuk mendukung terciptanya suasana akademik yang sehat dan kondusif.</t>
  </si>
  <si>
    <t>Persentase realisasi dana untuk investasi SDM serta Sarana dan Prasarana telah sesuai dengan perencanaan investasi serta melebihi standar pembelajaran, penelitian dan PkM.</t>
  </si>
  <si>
    <t xml:space="preserve">Persentase realisasi dana untuk investasi SDM serta Sarana dan Prasarana telah sesuai dengan perencanaan investasi serta memenuhi standar pembelajaran, penelitian dan PkM.
</t>
  </si>
  <si>
    <t>Persentase realisasi dana untuk investasi SDM serta Sarana dan Prasarana kurang sesuai dengan perencanaan investasi.</t>
  </si>
  <si>
    <t>Tidak ada realisasi dana untuk investasi SDM serta Sarana dan Prasarana.</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</si>
  <si>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</si>
  <si>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</si>
  <si>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Dana dapat menjamin keberlangsungan operasional tridharma serta pengembangan 3 tahun terakhir.</t>
  </si>
  <si>
    <t>Dana dapat menjamin keberlangsungan operasional tridharma dan sebagian kecil pengembangan.</t>
  </si>
  <si>
    <t>Dana  dapat menjamin keberlangsungan operasional dan tidak ada untuk pengembangan.</t>
  </si>
  <si>
    <t>Dana tidak mencukupi untuk keperluan operasional.</t>
  </si>
  <si>
    <t>C.5.4.b) Sarana dan Prasarana</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</si>
  <si>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</si>
  <si>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</si>
  <si>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UPPS menyediakan sarana dan prasarana serta aksesibiltas yang cukup untuk menjamin pencapaian capaian pembelajaran dan meningkatkan suasana akademik.</t>
  </si>
  <si>
    <t xml:space="preserve">UPPS menyediakan sarana dan prasarana serta aksesibiltas yang cukup untuk menjamin pencapaian capaian pembelajaran.
</t>
  </si>
  <si>
    <t>UPPS menyediakan sarana dan prasarana serta aksesibiltas yang tidak cukup untuk menjamin pencapaian capaian pembelajaran.</t>
  </si>
  <si>
    <t>UPPS tidak memiliki sarana dan prasarana.</t>
  </si>
  <si>
    <r>
      <rPr>
        <b/>
        <sz val="11"/>
        <color rgb="FF000000"/>
        <rFont val="Calibri"/>
      </rPr>
      <t>C.6. Pendidikan</t>
    </r>
    <r>
      <rPr>
        <sz val="11"/>
        <color rgb="FF000000"/>
        <rFont val="Calibri"/>
      </rPr>
      <t xml:space="preserve">
C.6.4. Indikator Kinerja Utama
C.6.4.a) Kurikulum</t>
    </r>
  </si>
  <si>
    <t>A. Keterlibatan pemangku kepentingan dalam proses evaluasi dan pemutakhiran kurikulum.</t>
  </si>
  <si>
    <t xml:space="preserve">Evaluasi dan pemutakhiran kurikulum secara berkala tiap 4 s.d. 5 tahun yang melibatkan pemangku kepentingan internal dan eksternal, serta direview oleh pakar bidang ilmu program studi, industri, asosiasi, serta sesuai perkembangan ipteks dan kebutuhan pengguna. </t>
  </si>
  <si>
    <t>Evaluasi dan pemutakhiran kurikulum secara berkala tiap 4 s.d. 5 tahun yang melibatkan pemangku kepentingan internal dan eksternal.</t>
  </si>
  <si>
    <t>Evaluasi dan pemutakhiran kurikulum melibatkan pemangku kepentingan internal.</t>
  </si>
  <si>
    <t>Evaluasi dan pemutakhiran kurikulum tidak melibatkan seluruh pemangku  kepentingan internal.</t>
  </si>
  <si>
    <t>Evaluasi dan pemutakhiran kurikulum dilakukan oleh dosen program studi.</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</si>
  <si>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</si>
  <si>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</si>
  <si>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Capaian pembelajaran diturunkan dari profil lulusan, memenuhi level KKNI, dan dimutakhirkan secara berkala tiap 4 s.d. 5 tahun sesuai perkembangan ipteks atau kebutuhan pengguna.</t>
  </si>
  <si>
    <t>Capaian pembelajaran diturunkan dari profil lulusan dan memenuhi level KKNI.</t>
  </si>
  <si>
    <t>Capaian pembelajaran diturunkan dari profil lulusan dan tidak memenuhi level KKNI.</t>
  </si>
  <si>
    <t>Capaian pembelajaran tidak diturunkan dari profil lulusan dan tidak memenuhi level KKNI.</t>
  </si>
  <si>
    <t>C. Ketepatan struktur kurikulum dalam pembentukan capaian pembelajaran.</t>
  </si>
  <si>
    <t>Struktur kurikulum memuat keterkaitan antara matakuliah dengan capaian pembelajaran lulusan yang digambarkan dalam peta kurikulum yang jelas, capaian pembelajaran lulusan dipenuhi oleh seluruh capaian pembelajaran matakuliah, serta tidak ada capaian pembelajaran matakuliah yang tidak mendukung capaian pembelajaran lulusan.</t>
  </si>
  <si>
    <t>Struktur kurikulum memuat keterkaitan antara matakuliah dengan capaian pembelajaran lulusan yang digambarkan dalam peta kurikulum yang jelas, capaian pembelajaran lulusan dipenuhi oleh seluruh capaian pembelajaran matakuliah.</t>
  </si>
  <si>
    <t>Struktur kurikulum memuat keterkaitan antara matakuliah dengan capaian pembelajaran lulusan yang digambarkan dalam peta kurikulum yang jelas.</t>
  </si>
  <si>
    <t>Struktur kurikulum tidak sesuai dengan capaian pembelajaran lulusan.</t>
  </si>
  <si>
    <t>Skor = (A + (2 x B) + (2 x C)) / 5</t>
  </si>
  <si>
    <t>C.6.4.b) Karakteristik Proses Pembelajaran</t>
  </si>
  <si>
    <t>Pemenuhan karakteristik proses pembelajaran, yang terdiri atas sifat: 1) interaktif, 2) holistik, 3) integratif, 4) saintifik, 5) kontekstual, 6) tematik, 7) efektif, 8) kolaboratif, dan 9) berpusat pada mahasiswa.</t>
  </si>
  <si>
    <t xml:space="preserve">Terpenuhinya karakteristik proses pembelajaran program studi yang mencakup seluruh sifat, dan telah menghasilkan profil lulusan yang sesuai dengan capaian pembelajaran. </t>
  </si>
  <si>
    <t xml:space="preserve">Terpenuhinya karakteristik proses pembelajaran program studi yang berpusat pada mahasiswa, dan telah menghasilkan profil lulusan yang sesuai dengan capaian pembelajaran. </t>
  </si>
  <si>
    <t>Karakteristik proses pembelajaran program studi berpusat pada mahasiswa yang diterapkan pada minimal 50% matakuliah.</t>
  </si>
  <si>
    <t>Karakteristik proses pembelajaran program studi belum berpusat pada mahasiswa.</t>
  </si>
  <si>
    <t>C.6.4.c) Rencana Proses Pembelajaran</t>
  </si>
  <si>
    <t xml:space="preserve">A. Ketersediaan dan kelengkapan dokumen rencana pembelajaran semester (RPS) </t>
  </si>
  <si>
    <t>Dokumen RPS mencakup target capaian pembelajaran, bahan kajian, metode pembelajaran, waktu dan tahapan, asesmen hasil capaian pembelajaran. RPS ditinjau dan disesuaikan secara berkala serta dapat diakses oleh mahasiswa, dilaksanakan secara konsisten.</t>
  </si>
  <si>
    <t>Dokumen RPS mencakup target capaian pembelajaran, bahan kajian, metode pembelajaran, waktu dan tahapan, asesmen hasil capaian pembelajaran. RPS ditinjau dan disesuaikan secara berkala serta dapat diakses oleh mahasiswa.</t>
  </si>
  <si>
    <t xml:space="preserve">Dokumen RPS mencakup target capaian pembelajaran, bahan kajian, metode pembelajaran, waktu dan tahapan, asesmen hasil capaian pembelajaran. RPS ditinjau dan disesuaikan secara berkala.  </t>
  </si>
  <si>
    <t>Dokumen RPS mencakup target capaian pembelajaran, bahan kajian, metode pembelajaran, waktu dan tahapan, asesmen hasil capaian pembelajaran atau tidak semua matakuliah memiliki RPS.</t>
  </si>
  <si>
    <t>Tidak memiliki dokumen RPS.</t>
  </si>
  <si>
    <t>B. Kedalaman dan keluasan RPS sesuai dengan capaian pembelajaran lulusan.</t>
  </si>
  <si>
    <t xml:space="preserve">Isi materi pembelajaran sesuai dengan RPS, memiliki kedalaman dan keluasan yang relevan untuk mencapai capaian pembelajaran lulusan, serta ditinjau ulang secara berkala. </t>
  </si>
  <si>
    <t xml:space="preserve">Isi materi pembelajaran sesuai dengan RPS, memiliki kedalaman dan keluasan yang relevan untuk mencapai capaian pembelajaran lulusan. </t>
  </si>
  <si>
    <t xml:space="preserve">Isi materi pembelajaran memiliki kedalaman dan keluasan sesuai dengan capaian pembelajaran lulusan. </t>
  </si>
  <si>
    <t xml:space="preserve">Isi materi pembelajaran memiliki kedalaman dan keluasan namun sebagian tidak sesuai dengan capaian pembelajaran lulusan. </t>
  </si>
  <si>
    <t xml:space="preserve">Isi materi pembelajaran tidak sesuai dengan capaian pembelajaran lulusan. </t>
  </si>
  <si>
    <t>C.6.4.d) Pelaksanaan Proses Pembelajaran</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</si>
  <si>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</si>
  <si>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</si>
  <si>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Pelaksanaan pembelajaran berlangsung dalam bentuk interaksi antara dosen, mahasiswa, dan sumber belajar dalam lingkungan belajar tertentu secara on-line dan off-line.</t>
  </si>
  <si>
    <t>Pelaksanaan pembelajaran berlangsung dalam bentuk interaksi antara dosen, mahasiswa, dan sumber belajar dalam lingkungan belajar tertentu.</t>
  </si>
  <si>
    <t>Pelaksanaan pembelajaran berlangsung hanya sebagian dalam bentuk interaksi antara dosen, mahasiswa, dan sumber belajar dalam lingkungan belajar tertentu.</t>
  </si>
  <si>
    <t>Pelaksanaan pembelajaran tidak berlangsung dalam bentuk interaksi antara dosen dan mahasiswa</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</si>
  <si>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</si>
  <si>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</si>
  <si>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Memiliki bukti sahih adanya sistem dan  pelaksanaan pemantauan proses pembelajaran yang dilaksanakan secara periodik untuk menjamin kesesuaian dengan RPS dalam rangka menjaga mutu proses pembelajaran. Hasil monev  terdokumentasi dengan baik.</t>
  </si>
  <si>
    <t xml:space="preserve">Memiliki bukti sahih adanya sistem dan pelaksanaan pemantauan proses pembelajaran yang dilaksanakan secara periodik untuk mengukur kesesuaian terhadap RPS. </t>
  </si>
  <si>
    <t>Memiliki bukti sahih adanya sistem pemantauan proses pembelajaran namun tidak dilaksanakan secara konsisten.</t>
  </si>
  <si>
    <t>Tidak memiliki bukti sahih adanya sistem dan pelaksanaan pemantauan proses pembelajaran.</t>
  </si>
  <si>
    <t>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</si>
  <si>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Terdapat bukti sahih tentang pemenuhan SN Dikti Penelitian pada proses pembelajaran terkait penelitian serta pemenuhan SN Dikti Penelitian pada proses pembelajaran terkait penelitian.</t>
  </si>
  <si>
    <t>Tidak ada Skor antara 2 dan 4.</t>
  </si>
  <si>
    <t>Terdapat bukti sahih tentang pemenuhan SN Dikti Penelitian pada proses pembelajaran terkait penelitian namun tidak memenuhi SN Dikti Penelitian pada proses pembelajaran terkait penelitian.</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</si>
  <si>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</si>
  <si>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Terdapat bukti sahih tentang pemenuhan SN Dikti PkM pada proses pembelajaran terkait PkM serta pemenuhan SN Dikti PkM pada proses pembelajaran terkait PkM.</t>
  </si>
  <si>
    <t>Terdapat bukti sahih tentang pemenuhan SN Dikti PkM pada proses pembelajaran terkait PkM namun tidak memenuhi SN Dikti PkM pada proses pembelajaran terkait PkM.</t>
  </si>
  <si>
    <t>E. Kesesuaian metode pembelajaran dengan capaian pembelajaran. Contoh: RBE (research based education), IBE (industry based education), teaching factory/teaching industry, dll.</t>
  </si>
  <si>
    <t>Terdapat bukti sahih yang menunjukkan metode pembelajaran yang dilaksanakan sesuai dengan capaian pembelajaran yang direncanakan pada 75% s.d. 100% mata kuliah.</t>
  </si>
  <si>
    <t>Terdapat bukti sahih yang menunjukkan metode pembelajaran yang dilaksanakan sesuai dengan capaian pembelajaran yang direncanakan pada 50 s.d. &lt; 75% mata kuliah.</t>
  </si>
  <si>
    <t>Terdapat bukti sahih yang menunjukkan metode pembelajaran yang dilaksanakan sesuai dengan capaian pembelajaran yang direncanakan pada 25 s.d. &lt; 50% mata kuliah.</t>
  </si>
  <si>
    <t>Terdapat bukti sahih yang menunjukkan metode pembelajaran yang dilaksanakan sesuai dengan capaian pembelajaran yang direncanakan pada &lt; 25% mata kuliah.</t>
  </si>
  <si>
    <t>Tidak terdapat bukti sahih yang menunjukkan metode pembelajaran yang dilaksanakan sesuai dengan capaian pembelajaran yang direncanakan.</t>
  </si>
  <si>
    <t>Skor = (A + (2 x B) + (2 x C) + (2 x D) + (2 x E)) / 9</t>
  </si>
  <si>
    <t>Pembelajaran yang dilaksanakan dalam bentuk praktikum, praktik studio, praktik bengkel, atau praktik lapangan.
Tabel 5.a LKPS</t>
  </si>
  <si>
    <r>
      <t>J</t>
    </r>
    <r>
      <rPr>
        <vertAlign val="subscript"/>
        <sz val="11"/>
        <color rgb="FF000000"/>
        <rFont val="Calibri"/>
      </rPr>
      <t>P</t>
    </r>
    <r>
      <rPr>
        <sz val="11"/>
        <color rgb="FF000000"/>
        <rFont val="Calibri"/>
      </rPr>
      <t xml:space="preserve"> = Jam pembelajaran praktikum, praktik studio, praktik bengkel, atau praktik lapangan (termasuk KKN)</t>
    </r>
  </si>
  <si>
    <r>
      <t>J</t>
    </r>
    <r>
      <rPr>
        <vertAlign val="subscript"/>
        <sz val="11"/>
        <color rgb="FF000000"/>
        <rFont val="Calibri"/>
      </rPr>
      <t>B</t>
    </r>
    <r>
      <rPr>
        <sz val="11"/>
        <color rgb="FF000000"/>
        <rFont val="Calibri"/>
      </rPr>
      <t xml:space="preserve"> = Jam pembelajaran total selama masa pendidikan.</t>
    </r>
  </si>
  <si>
    <r>
      <t>P</t>
    </r>
    <r>
      <rPr>
        <vertAlign val="subscript"/>
        <sz val="11"/>
        <color rgb="FF000000"/>
        <rFont val="Calibri"/>
      </rPr>
      <t>JP</t>
    </r>
    <r>
      <rPr>
        <sz val="11"/>
        <color rgb="FF000000"/>
        <rFont val="Calibri"/>
      </rPr>
      <t xml:space="preserve"> = (J</t>
    </r>
    <r>
      <rPr>
        <vertAlign val="subscript"/>
        <sz val="11"/>
        <color rgb="FF000000"/>
        <rFont val="Calibri"/>
      </rPr>
      <t>P</t>
    </r>
    <r>
      <rPr>
        <sz val="11"/>
        <color rgb="FF000000"/>
        <rFont val="Calibri"/>
      </rPr>
      <t xml:space="preserve"> / J</t>
    </r>
    <r>
      <rPr>
        <vertAlign val="subscript"/>
        <sz val="11"/>
        <color rgb="FF000000"/>
        <rFont val="Calibri"/>
      </rPr>
      <t>B</t>
    </r>
    <r>
      <rPr>
        <sz val="11"/>
        <color rgb="FF000000"/>
        <rFont val="Calibri"/>
      </rPr>
      <t>) x 100%</t>
    </r>
  </si>
  <si>
    <t>C.6.4.e) Monitoring dan Evaluasi Proses Pembelajaran</t>
  </si>
  <si>
    <t>Monitoring dan evaluasi pelaksanaan proses pembelajaran mencakup karakteristik, perencanaan, pelaksanaan, proses pembelajaran dan beban belajar mahasiswa untuk memperoleh capaian pembelajaran lulusan.</t>
  </si>
  <si>
    <t>UPPS memiliki bukti sahih tentang sistem dan pelaksanaan monitoring dan evaluasi proses pembelajaran mencakup karakteristik, perencanaan, pelaksanaan, proses pembelajaran dan beban belajar mahasiswa yang dilaksanakan secara konsisten dan ditindak lanjuti.</t>
  </si>
  <si>
    <t>UPPS memiliki bukti sahih tentang sistem dan pelaksanaan monitoring dan evaluasi proses pembelajaran mencakup karakteristik, perencanaan, pelaksanaan, proses pembelajaran dan beban belajar mahasiswa yang dilaksanakan secara konsisten.</t>
  </si>
  <si>
    <t>UPPS memiliki bukti sahih tentang sistem dan pelaksanaan monitoring dan evaluasi proses pembelajaran mencakup karakteristik, perencanaan, pelaksanaan, proses pembelajaran dan beban belajar mahasiswa.</t>
  </si>
  <si>
    <t>UPPS telah melaksanakan monitoring dan evaluasi proses pembelajaran mencakup karakteristik, perencanaan, pelaksanaan, proses pembelajaran dan beban belajar mahasiswa namun tidak semua didukung bukti sahih.</t>
  </si>
  <si>
    <t>UPPS tidak melaksanakan monitoring dan evaluasi proses pembelajaran mencakup karakteristik, perencanaan, pelaksanaan, proses pembelajaran dan beban belajar mahasiswa.</t>
  </si>
  <si>
    <t>C.6.4.f) Penilaian Pembelajaran</t>
  </si>
  <si>
    <t>A. Mutu pelaksanaan penilaian pembelajaran (proses dan hasil belajar mahasiswa) untuk mengukur ketercapaian capaian pembelajaran berdasarkan prinsip penilaian yang mencakup: 1) edukatif, 2) otentik, 3) objektif, 4) akuntabel, dan 5) transparan, yang dilakukan secara terintegrasi.</t>
  </si>
  <si>
    <t>Terdapat bukti sahih tentang dipenuhinya 5 prinsip penilaian yang dilakukan secara terintegrasi dan dilengkapi dengan rubrik/portofolio penilaian minimum 70% jumlah matakuliah.</t>
  </si>
  <si>
    <t>Terdapat bukti sahih tentang dipenuhinya 5 prinsip penilaian yang  dilakukan secara terintegrasi dan dilengkapi dengan rubrik/portofolio penilaian minimum 50% jumlah matakuliah.</t>
  </si>
  <si>
    <t>Terdapat bukti sahih tentang dipenuhinya 5 prinsip penilaian yang dilakukan secara terintegrasi.</t>
  </si>
  <si>
    <t>Terdapat bukti sahih tentang dipenuhinya 5 prinsip penilaian yang tidak dilakukan secara terintegrasi.</t>
  </si>
  <si>
    <t>Tidak terdapat bukti sahih tentang dipenuhinya 5 prinsip penilaian.</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</si>
  <si>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</si>
  <si>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 xml:space="preserve">Terdapat bukti sahih yang menunjukkan kesesuaian teknik dan instrumen penilaian terhadap capaian pembelajaran minimum 75% s.d. 100% dari jumlah matakuliah. </t>
  </si>
  <si>
    <t xml:space="preserve">Terdapat bukti sahih yang menunjukkan kesesuaian teknik dan instrumen penilaian terhadap capaian pembelajaran minimum 50 s.d. &lt; 75% dari jumlah matakuliah.  </t>
  </si>
  <si>
    <t xml:space="preserve">Terdapat bukti sahih yang menunjukkan kesesuaian teknik dan instrumen penilaian terhadap capaian pembelajaran yang dinilai minimum 25 s.d. &lt; 50%  dari jumlah matakuliah.  </t>
  </si>
  <si>
    <t xml:space="preserve">Terdapat bukti sahih yang menunjukkan kesesuaian teknik dan instrumen penilaian terhadap capaian pembelajaran yang dinilai &lt; 25% dari jumlah matakuliah.  </t>
  </si>
  <si>
    <t>Tidak terdapat bukti sahih yang menunjukkan kesesuaian teknik dan instrumen penilaian terhadap capaian pembelajaran.</t>
  </si>
  <si>
    <t>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</si>
  <si>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C.6.4.g) Integrasi kegiatan penelitian dan PkM dalam pembelajaran</t>
  </si>
  <si>
    <t>Integrasi kegiatan penelitian dan PkM dalam pembelajaran oleh DTPS dalam 3 tahun terakhir.
Tabel 5.b LKPS</t>
  </si>
  <si>
    <t>MK = Jumlah mata kuliah yang dikembangkan berdasarkan hasil penelitian/PkM DTPS dalam 3 tahun terakhir.</t>
  </si>
  <si>
    <t>C.6.4.h) Suasana Akademik</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</si>
  <si>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</si>
  <si>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</si>
  <si>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Kegiatan ilmiah yang terjadwal dilaksanakan dua s.d tiga bulan sekali.</t>
  </si>
  <si>
    <t>Kegiatan ilmiah yang terjadwal dilaksanakan empat s.d. enam bulan sekali.</t>
  </si>
  <si>
    <t>Kegiatan ilmiah yang terjadwal dilaksanakan lebih dari enam bulan sekali.</t>
  </si>
  <si>
    <t>C.6.4.i) Kepuasan Mahasiswa</t>
  </si>
  <si>
    <r>
      <t>A. Tingkat kepuasan mahasiswa terhadap proses pendidikan.
Tabel 5.c LKPS
Aspek yang diukur: 1) Keandalan (</t>
    </r>
    <r>
      <rPr>
        <i/>
        <sz val="11"/>
        <color rgb="FF000000"/>
        <rFont val="Calibri"/>
      </rPr>
      <t>reliability</t>
    </r>
    <r>
      <rPr>
        <sz val="11"/>
        <color rgb="FF000000"/>
        <rFont val="Calibri"/>
      </rPr>
      <t>): kemampuan dosen, tenaga kependidikan, dan pengelola dalam memberikan pelayanan; 2) Daya tanggap (responsiveness): kemauan dari dosen, tenaga kependidikan, dan pengelola dalam membantu mahasiswa dan memberikan jasa dengan cepat; 3) Kepastian (assurance): kemampuan dosen, tenaga kependidikan, dan pengelola untuk memberi keyakinan kepada mahasiswa bahwa pelayanan yang diberikan telah sesuai dengan ketentuan; 4) Empati (empathy): kesediaan/kepedulian dosen, tenaga kependidikan, dan pengelola untuk memberi perhatian kepada mahasiswa; dan 5) Tangible: penilaian mahasiswa terhadap kecukupan, aksesibitas, kualitas sarana dan prasarana.</t>
    </r>
  </si>
  <si>
    <t>Reliability</t>
  </si>
  <si>
    <t>% Sangat Baik</t>
  </si>
  <si>
    <t>% Baik</t>
  </si>
  <si>
    <t>% Cukup</t>
  </si>
  <si>
    <t>% Kurang</t>
  </si>
  <si>
    <r>
      <t>TKM</t>
    </r>
    <r>
      <rPr>
        <vertAlign val="subscript"/>
        <sz val="11"/>
        <color rgb="FF000000"/>
        <rFont val="Calibri"/>
      </rPr>
      <t>1</t>
    </r>
  </si>
  <si>
    <t>Responsiveness</t>
  </si>
  <si>
    <r>
      <t>TKM</t>
    </r>
    <r>
      <rPr>
        <vertAlign val="subscript"/>
        <sz val="11"/>
        <color rgb="FF000000"/>
        <rFont val="Calibri"/>
      </rPr>
      <t>2</t>
    </r>
  </si>
  <si>
    <t>Assurance</t>
  </si>
  <si>
    <r>
      <t>TKM</t>
    </r>
    <r>
      <rPr>
        <vertAlign val="subscript"/>
        <sz val="11"/>
        <color rgb="FF000000"/>
        <rFont val="Calibri"/>
      </rPr>
      <t>3</t>
    </r>
  </si>
  <si>
    <t>Empathy</t>
  </si>
  <si>
    <r>
      <t>TKM</t>
    </r>
    <r>
      <rPr>
        <vertAlign val="subscript"/>
        <sz val="11"/>
        <color rgb="FF000000"/>
        <rFont val="Calibri"/>
      </rPr>
      <t>4</t>
    </r>
  </si>
  <si>
    <t>Tangible</t>
  </si>
  <si>
    <r>
      <t>TKM</t>
    </r>
    <r>
      <rPr>
        <vertAlign val="subscript"/>
        <sz val="11"/>
        <color rgb="FF000000"/>
        <rFont val="Calibri"/>
      </rPr>
      <t>5</t>
    </r>
  </si>
  <si>
    <r>
      <t>TKM = ƩTKM</t>
    </r>
    <r>
      <rPr>
        <vertAlign val="subscript"/>
        <sz val="11"/>
        <color rgb="FF000000"/>
        <rFont val="Calibri"/>
      </rPr>
      <t>i</t>
    </r>
    <r>
      <rPr>
        <sz val="11"/>
        <color rgb="FF000000"/>
        <rFont val="Calibri"/>
      </rPr>
      <t xml:space="preserve"> / 5</t>
    </r>
  </si>
  <si>
    <t>B. Analisis dan tindak lanjut dari hasil pengukuran kepuasan mahasiswa.</t>
  </si>
  <si>
    <t>Hasil pengukuran dianalisis dan ditindaklanjuti minimal 2 kali setiap semester, serta digunakan untuk perbaikan proses pembelajaran dan menunjukkan peningkatan hasil pembelajaran.</t>
  </si>
  <si>
    <t>Hasil pengukuran dianalisis dan ditindaklanjuti setiap semester, serta digunakan untuk perbaikan proses pembelajaran dan menunjukkan peningkatan hasil pembelajaran.</t>
  </si>
  <si>
    <t>Hasil pengukuran dianalisis dan ditindaklanjuti setiap tahun, serta digunakan untuk perbaikan proses pembelajaran.</t>
  </si>
  <si>
    <t>Hasil pengukuran dianalisis dan ditindaklanjuti, serta digunakan untuk perbaikan proses pembelajaran, namun dilakukan secara insidentil.</t>
  </si>
  <si>
    <t>Tidak dilakukan analisis terhadap hasil pengukuran kepuasan terhadap proses pembelajaran.</t>
  </si>
  <si>
    <r>
      <rPr>
        <b/>
        <sz val="11"/>
        <color rgb="FF000000"/>
        <rFont val="Calibri"/>
      </rPr>
      <t>C.7
Penelitian</t>
    </r>
    <r>
      <rPr>
        <sz val="11"/>
        <color rgb="FF000000"/>
        <rFont val="Calibri"/>
      </rPr>
      <t xml:space="preserve">
C.7.4
Indikator Kinerja Utama
C.7.4.a)
Relevansi Penelitian
</t>
    </r>
  </si>
  <si>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</si>
  <si>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UPPS memenuhi 4 unsur relevansi penelitian dosen dan mahasiswa.</t>
  </si>
  <si>
    <t>UPPS memenuhi  unsur 1, 2, dan 3 relevansi penelitian dosen dan mahasiswa.</t>
  </si>
  <si>
    <t>UPPS memenuhi  unsur 1, dan 2 relevansi penelitian dosen dan mahasiswa.</t>
  </si>
  <si>
    <t>UPPS memenuhi  unsur pertama namun penelitian dosen dan mahasiswa tidak sesuai dengan peta jalan.</t>
  </si>
  <si>
    <t>UPPS tidak mempunyai peta jalan penelitian dosen dan mahasiswa.</t>
  </si>
  <si>
    <t>C.7.4.b) Penelitian Dosen dan Mahasiswa</t>
  </si>
  <si>
    <t>Penelitian DTPS yang dalam pelaksanaannya melibatkan mahasiswa program studi dalam 3 tahun terakhir.
Tabel 6.a LKPS</t>
  </si>
  <si>
    <r>
      <t>N</t>
    </r>
    <r>
      <rPr>
        <vertAlign val="subscript"/>
        <sz val="11"/>
        <color rgb="FF000000"/>
        <rFont val="Calibri"/>
      </rPr>
      <t>PM</t>
    </r>
    <r>
      <rPr>
        <sz val="11"/>
        <color rgb="FF000000"/>
        <rFont val="Calibri"/>
      </rPr>
      <t xml:space="preserve"> = Jumlah judul penelitian DTPS yang dalam pelaksanaannya melibatkan mahasiswa program studi dalam 3 tahun terakhir.</t>
    </r>
  </si>
  <si>
    <r>
      <t>N</t>
    </r>
    <r>
      <rPr>
        <vertAlign val="subscript"/>
        <sz val="11"/>
        <color rgb="FF000000"/>
        <rFont val="Calibri"/>
      </rPr>
      <t>PD</t>
    </r>
    <r>
      <rPr>
        <sz val="11"/>
        <color rgb="FF000000"/>
        <rFont val="Calibri"/>
      </rPr>
      <t xml:space="preserve"> = Jumlah judul penelitian DTPS dalam 3 tahun terakhir. </t>
    </r>
  </si>
  <si>
    <r>
      <t>P</t>
    </r>
    <r>
      <rPr>
        <vertAlign val="subscript"/>
        <sz val="11"/>
        <color rgb="FF000000"/>
        <rFont val="Calibri"/>
      </rPr>
      <t>PDM</t>
    </r>
    <r>
      <rPr>
        <sz val="11"/>
        <color rgb="FF000000"/>
        <rFont val="Calibri"/>
      </rPr>
      <t xml:space="preserve"> = (N</t>
    </r>
    <r>
      <rPr>
        <vertAlign val="subscript"/>
        <sz val="11"/>
        <color rgb="FF000000"/>
        <rFont val="Calibri"/>
      </rPr>
      <t>PM</t>
    </r>
    <r>
      <rPr>
        <sz val="11"/>
        <color rgb="FF000000"/>
        <rFont val="Calibri"/>
      </rPr>
      <t xml:space="preserve"> / N</t>
    </r>
    <r>
      <rPr>
        <vertAlign val="subscript"/>
        <sz val="11"/>
        <color rgb="FF000000"/>
        <rFont val="Calibri"/>
      </rPr>
      <t>PkMD</t>
    </r>
    <r>
      <rPr>
        <sz val="11"/>
        <color rgb="FF000000"/>
        <rFont val="Calibri"/>
      </rPr>
      <t xml:space="preserve">) x 100% </t>
    </r>
  </si>
  <si>
    <r>
      <rPr>
        <b/>
        <sz val="11"/>
        <color rgb="FF000000"/>
        <rFont val="Calibri"/>
      </rPr>
      <t>C.8
Pengabdian kepada Masyarakat</t>
    </r>
    <r>
      <rPr>
        <sz val="11"/>
        <color rgb="FF000000"/>
        <rFont val="Calibri"/>
      </rPr>
      <t xml:space="preserve">
C.8.4
Indikator Kinerja Utama
C.8.4.a)
Relevansi PkM</t>
    </r>
  </si>
  <si>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</si>
  <si>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UPPS memenuhi 4 unsur relevansi PkM dosen dan mahasiswa.</t>
  </si>
  <si>
    <t>UPPS memenuhi  unsur 1, 2, dan 3 relevansi PkM dosen dan mahasiswa.</t>
  </si>
  <si>
    <t>UPPS memenuhi  unsur 1, dan 2 relevansi PkM dosen dan mahasiswa.</t>
  </si>
  <si>
    <t>UPPS memenuhi  unsur pertama namun PkM dosen dan mahasiswa tidak sesuai dengan peta jalan.</t>
  </si>
  <si>
    <t>UPPS tidak mempunyai peta jalan PkM dosen dan mahasiswa.</t>
  </si>
  <si>
    <t>C.8.4.b) PkM Dosen dan Mahasiswa</t>
  </si>
  <si>
    <t>PkM DTPS yang dalam pelaksanaannya melibatkan mahasiswa program studi dalam 3 tahun terakhir.
Tabel 7 LKPS</t>
  </si>
  <si>
    <r>
      <t>N</t>
    </r>
    <r>
      <rPr>
        <vertAlign val="subscript"/>
        <sz val="11"/>
        <color rgb="FF000000"/>
        <rFont val="Calibri"/>
      </rPr>
      <t>PkMM</t>
    </r>
    <r>
      <rPr>
        <sz val="11"/>
        <color rgb="FF000000"/>
        <rFont val="Calibri"/>
      </rPr>
      <t xml:space="preserve"> = Jumlah judul PkM DTPS yang dalam pelaksanaannya melibatkan mahasiswa program studi dalam 3 tahun terakhir.</t>
    </r>
  </si>
  <si>
    <r>
      <t>N</t>
    </r>
    <r>
      <rPr>
        <vertAlign val="subscript"/>
        <sz val="11"/>
        <color rgb="FF000000"/>
        <rFont val="Calibri"/>
      </rPr>
      <t>PkMD</t>
    </r>
    <r>
      <rPr>
        <sz val="11"/>
        <color rgb="FF000000"/>
        <rFont val="Calibri"/>
      </rPr>
      <t xml:space="preserve"> = Jumlah judul PkM DTPS dalam 3 tahun terakhir. </t>
    </r>
  </si>
  <si>
    <r>
      <t>P</t>
    </r>
    <r>
      <rPr>
        <vertAlign val="subscript"/>
        <sz val="11"/>
        <color rgb="FF000000"/>
        <rFont val="Calibri"/>
      </rPr>
      <t>PkMDM</t>
    </r>
    <r>
      <rPr>
        <sz val="11"/>
        <color rgb="FF000000"/>
        <rFont val="Calibri"/>
      </rPr>
      <t xml:space="preserve"> = (N</t>
    </r>
    <r>
      <rPr>
        <vertAlign val="subscript"/>
        <sz val="11"/>
        <color rgb="FF000000"/>
        <rFont val="Calibri"/>
      </rPr>
      <t>PkMM</t>
    </r>
    <r>
      <rPr>
        <sz val="11"/>
        <color rgb="FF000000"/>
        <rFont val="Calibri"/>
      </rPr>
      <t xml:space="preserve"> / N</t>
    </r>
    <r>
      <rPr>
        <vertAlign val="subscript"/>
        <sz val="11"/>
        <color rgb="FF000000"/>
        <rFont val="Calibri"/>
      </rPr>
      <t>PkMD</t>
    </r>
    <r>
      <rPr>
        <sz val="11"/>
        <color rgb="FF000000"/>
        <rFont val="Calibri"/>
      </rPr>
      <t xml:space="preserve">) x 100% </t>
    </r>
  </si>
  <si>
    <r>
      <rPr>
        <b/>
        <sz val="11"/>
        <color rgb="FF000000"/>
        <rFont val="Calibri"/>
      </rPr>
      <t>C.9
Luaran dan Capaian Tridharma</t>
    </r>
    <r>
      <rPr>
        <sz val="11"/>
        <color rgb="FF000000"/>
        <rFont val="Calibri"/>
      </rPr>
      <t xml:space="preserve">
C.9.4 
Indikator Kinerja Utama
C.9.4.a)
Luaran Dharma Pendidikan</t>
    </r>
  </si>
  <si>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</si>
  <si>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Analisis capaian pembelajaran lulusan memenuhi 3 aspek. </t>
  </si>
  <si>
    <t xml:space="preserve">Analisis capaian pembelajaran lulusan memenuhi 2 aspek. </t>
  </si>
  <si>
    <t xml:space="preserve">Analisis capaian pembelajaran lulusan memenuhi 1 aspek. </t>
  </si>
  <si>
    <t xml:space="preserve">Analisis capaian pembelajaran lulusan tidak memenuhi ketiga aspek. </t>
  </si>
  <si>
    <t>Tidak dilakukan analisis capaian pembelajaran lulusan.</t>
  </si>
  <si>
    <t>IPK lulusan.
Tabel 8.a LKPS</t>
  </si>
  <si>
    <t>Jumlah Lulusan pada TS-2</t>
  </si>
  <si>
    <t>Jumlah Lulusan pada TS-1</t>
  </si>
  <si>
    <t>Jumlah Lulusan pada TS</t>
  </si>
  <si>
    <t>IPK Rata-rata pada TS-2</t>
  </si>
  <si>
    <t>3,45</t>
  </si>
  <si>
    <t>IPK Rata-rata pada TS-1</t>
  </si>
  <si>
    <t>3,35</t>
  </si>
  <si>
    <t>IPK Rata-rata pada TS</t>
  </si>
  <si>
    <t>3,50</t>
  </si>
  <si>
    <t>RIPK = Rata-rata IPK lulusan dalam 3 tahun terakhir.</t>
  </si>
  <si>
    <t>Prestasi mahasiswa di bidang akademik dalam 3 tahun terakhir.
Tabel 8.b.1) LKPS</t>
  </si>
  <si>
    <r>
      <t>N</t>
    </r>
    <r>
      <rPr>
        <vertAlign val="subscript"/>
        <sz val="11"/>
        <color rgb="FF000000"/>
        <rFont val="Calibri"/>
      </rPr>
      <t>I</t>
    </r>
    <r>
      <rPr>
        <sz val="11"/>
        <color rgb="FF000000"/>
        <rFont val="Calibri"/>
      </rPr>
      <t xml:space="preserve"> = Jumlah prestasi akademik internasional.</t>
    </r>
  </si>
  <si>
    <r>
      <t>N</t>
    </r>
    <r>
      <rPr>
        <vertAlign val="subscript"/>
        <sz val="11"/>
        <color rgb="FF000000"/>
        <rFont val="Calibri"/>
      </rPr>
      <t>N</t>
    </r>
    <r>
      <rPr>
        <sz val="11"/>
        <color rgb="FF000000"/>
        <rFont val="Calibri"/>
      </rPr>
      <t xml:space="preserve"> = Jumlah prestasi akademik nasional.</t>
    </r>
  </si>
  <si>
    <r>
      <t>N</t>
    </r>
    <r>
      <rPr>
        <vertAlign val="subscript"/>
        <sz val="11"/>
        <color rgb="FF000000"/>
        <rFont val="Calibri"/>
      </rPr>
      <t>W</t>
    </r>
    <r>
      <rPr>
        <sz val="11"/>
        <color rgb="FF000000"/>
        <rFont val="Calibri"/>
      </rPr>
      <t xml:space="preserve"> = Jumlah prestasi akademik wilayah/lokal.</t>
    </r>
  </si>
  <si>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N</t>
    </r>
    <r>
      <rPr>
        <vertAlign val="subscript"/>
        <sz val="11"/>
        <color rgb="FF000000"/>
        <rFont val="Calibri"/>
      </rPr>
      <t>M</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</si>
  <si>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N</t>
    </r>
    <r>
      <rPr>
        <vertAlign val="subscript"/>
        <sz val="11"/>
        <color rgb="FF000000"/>
        <rFont val="Calibri"/>
      </rPr>
      <t>M</t>
    </r>
  </si>
  <si>
    <r>
      <t>R</t>
    </r>
    <r>
      <rPr>
        <vertAlign val="subscript"/>
        <sz val="11"/>
        <color rgb="FF000000"/>
        <rFont val="Calibri"/>
      </rPr>
      <t>W</t>
    </r>
    <r>
      <rPr>
        <sz val="11"/>
        <color rgb="FF000000"/>
        <rFont val="Calibri"/>
      </rPr>
      <t xml:space="preserve"> = N</t>
    </r>
    <r>
      <rPr>
        <vertAlign val="subscript"/>
        <sz val="11"/>
        <color rgb="FF000000"/>
        <rFont val="Calibri"/>
      </rPr>
      <t>W</t>
    </r>
    <r>
      <rPr>
        <sz val="11"/>
        <color rgb="FF000000"/>
        <rFont val="Calibri"/>
      </rPr>
      <t xml:space="preserve"> / N</t>
    </r>
    <r>
      <rPr>
        <vertAlign val="subscript"/>
        <sz val="11"/>
        <color rgb="FF000000"/>
        <rFont val="Calibri"/>
      </rPr>
      <t>M</t>
    </r>
  </si>
  <si>
    <t>2: RI = 0 DAN RN = 0 DAN RW ≥ c</t>
  </si>
  <si>
    <t>0-2: RI = 0 DAN RN = 0 DAN RW &lt; c</t>
  </si>
  <si>
    <t>Prestasi mahasiswa di bidang nonakademik dalam 3 tahun terakhir.
Tabel 8.b.2) LKPS</t>
  </si>
  <si>
    <r>
      <t>N</t>
    </r>
    <r>
      <rPr>
        <vertAlign val="subscript"/>
        <sz val="11"/>
        <color rgb="FF000000"/>
        <rFont val="Calibri"/>
      </rPr>
      <t>I</t>
    </r>
    <r>
      <rPr>
        <sz val="11"/>
        <color rgb="FF000000"/>
        <rFont val="Calibri"/>
      </rPr>
      <t xml:space="preserve"> = Jumlah prestasi nonakademik internasional.</t>
    </r>
  </si>
  <si>
    <r>
      <t>N</t>
    </r>
    <r>
      <rPr>
        <vertAlign val="subscript"/>
        <sz val="11"/>
        <color rgb="FF000000"/>
        <rFont val="Calibri"/>
      </rPr>
      <t>N</t>
    </r>
    <r>
      <rPr>
        <sz val="11"/>
        <color rgb="FF000000"/>
        <rFont val="Calibri"/>
      </rPr>
      <t xml:space="preserve"> = Jumlah prestasi nonakademik nasional.</t>
    </r>
  </si>
  <si>
    <r>
      <t>N</t>
    </r>
    <r>
      <rPr>
        <vertAlign val="subscript"/>
        <sz val="11"/>
        <color rgb="FF000000"/>
        <rFont val="Calibri"/>
      </rPr>
      <t>W</t>
    </r>
    <r>
      <rPr>
        <sz val="11"/>
        <color rgb="FF000000"/>
        <rFont val="Calibri"/>
      </rPr>
      <t xml:space="preserve"> = Jumlah prestasi nonakademik wilayah/lokal.</t>
    </r>
  </si>
  <si>
    <t>Masa studi.
Tabel 8.c LKPS</t>
  </si>
  <si>
    <t>Jumlah mahasiswa diterima pada TS-6</t>
  </si>
  <si>
    <t>Jumlah mahasiswa yang lulus pada akhir TS-3</t>
  </si>
  <si>
    <t>Jumlah mahasiswa yang lulus pada akhir TS-2</t>
  </si>
  <si>
    <t>Jumlah mahasiswa yang lulus pada akhir TS-1</t>
  </si>
  <si>
    <t>Jumlah mahasiswa yang lulus pada akhir TS</t>
  </si>
  <si>
    <t>MS = Rata-rata masa studi lulusan (Tahun)</t>
  </si>
  <si>
    <t>Kelulusan tepat waktu.
Tabel 8.c LKPS</t>
  </si>
  <si>
    <t>Jumlah Mahasiswa Diterima pada TS-6</t>
  </si>
  <si>
    <t>Jumlah Mahasiswa Diterima pada TS-5</t>
  </si>
  <si>
    <t>Jumlah Mahasiswa Diterima pada TS-4</t>
  </si>
  <si>
    <t>Jumlah Mahasiswa Diterima pada TS-3</t>
  </si>
  <si>
    <t>Jumlah Mahasiswa yang Lulus pada Akhir TS-3</t>
  </si>
  <si>
    <t>Jumlah Mahasiswa yang Lulus pada Akhir TS-2</t>
  </si>
  <si>
    <t>Jumlah Mahasiswa yang Lulus pada Akhir TS-1</t>
  </si>
  <si>
    <t>Jumlah Mahasiswa yang Lulus pada Akhir TS</t>
  </si>
  <si>
    <t>PTW = Persentase kelulusan tepat waktu.</t>
  </si>
  <si>
    <t>Keberhasilan studi.
Tabel 8.c LKPS</t>
  </si>
  <si>
    <t>PPS = Persentase keberhasilan studi.</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</si>
  <si>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</si>
  <si>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Tracer study yang dilakukan UPPS telah mencakup 5 aspek.</t>
  </si>
  <si>
    <t>Tracer study yang dilakukan UPPS telah mencakup 4 aspek.</t>
  </si>
  <si>
    <t>Tracer study yang dilakukan UPPS telah mencakup 3 aspek.</t>
  </si>
  <si>
    <t>Tracer study yang dilakukan UPPS telah mencakup 2 aspek.</t>
  </si>
  <si>
    <t>UPPS tidak melaksanakan tracer study.</t>
  </si>
  <si>
    <t>STUDI PENELUSURAN LULUSAN
TABEL REFERENSI 8.d.1)</t>
  </si>
  <si>
    <r>
      <t>N</t>
    </r>
    <r>
      <rPr>
        <vertAlign val="subscript"/>
        <sz val="11"/>
        <color rgb="FF000000"/>
        <rFont val="Calibri"/>
      </rPr>
      <t>L4</t>
    </r>
    <r>
      <rPr>
        <sz val="11"/>
        <color rgb="FF000000"/>
        <rFont val="Calibri"/>
      </rPr>
      <t xml:space="preserve"> = Jumlah lulusan pada TS-4</t>
    </r>
  </si>
  <si>
    <r>
      <t>N</t>
    </r>
    <r>
      <rPr>
        <vertAlign val="subscript"/>
        <sz val="11"/>
        <color rgb="FF000000"/>
        <rFont val="Calibri"/>
      </rPr>
      <t>L3</t>
    </r>
    <r>
      <rPr>
        <sz val="11"/>
        <color rgb="FF000000"/>
        <rFont val="Calibri"/>
      </rPr>
      <t xml:space="preserve"> = Jumlah lulusan pada TS-3</t>
    </r>
  </si>
  <si>
    <r>
      <t>N</t>
    </r>
    <r>
      <rPr>
        <vertAlign val="subscript"/>
        <sz val="11"/>
        <color rgb="FF000000"/>
        <rFont val="Calibri"/>
      </rPr>
      <t>L2</t>
    </r>
    <r>
      <rPr>
        <sz val="11"/>
        <color rgb="FF000000"/>
        <rFont val="Calibri"/>
      </rPr>
      <t xml:space="preserve"> = Jumlah lulusan pada TS-2</t>
    </r>
  </si>
  <si>
    <r>
      <t>N</t>
    </r>
    <r>
      <rPr>
        <vertAlign val="subscript"/>
        <sz val="11"/>
        <color rgb="FF000000"/>
        <rFont val="Calibri"/>
      </rPr>
      <t>J4</t>
    </r>
    <r>
      <rPr>
        <sz val="11"/>
        <color rgb="FF000000"/>
        <rFont val="Calibri"/>
      </rPr>
      <t xml:space="preserve"> = Jumlah lulusan pada TS-4 yang terlacak</t>
    </r>
  </si>
  <si>
    <r>
      <t>N</t>
    </r>
    <r>
      <rPr>
        <vertAlign val="subscript"/>
        <sz val="11"/>
        <color rgb="FF000000"/>
        <rFont val="Calibri"/>
      </rPr>
      <t>J3</t>
    </r>
    <r>
      <rPr>
        <sz val="11"/>
        <color rgb="FF000000"/>
        <rFont val="Calibri"/>
      </rPr>
      <t xml:space="preserve"> = Jumlah lulusan pada TS-3 yang terlacak</t>
    </r>
  </si>
  <si>
    <r>
      <t>N</t>
    </r>
    <r>
      <rPr>
        <vertAlign val="subscript"/>
        <sz val="11"/>
        <color rgb="FF000000"/>
        <rFont val="Calibri"/>
      </rPr>
      <t>J3</t>
    </r>
    <r>
      <rPr>
        <sz val="11"/>
        <color rgb="FF000000"/>
        <rFont val="Calibri"/>
      </rPr>
      <t xml:space="preserve"> = Jumlah lulusan pada TS-2 yang terlacak</t>
    </r>
  </si>
  <si>
    <r>
      <t>Kategori jumlah lulusan dalam 3 tahun (1: N</t>
    </r>
    <r>
      <rPr>
        <vertAlign val="subscript"/>
        <sz val="11"/>
        <color rgb="FF000000"/>
        <rFont val="Calibri"/>
      </rPr>
      <t>L</t>
    </r>
    <r>
      <rPr>
        <sz val="11"/>
        <color rgb="FF000000"/>
        <rFont val="Calibri"/>
      </rPr>
      <t xml:space="preserve"> </t>
    </r>
    <r>
      <rPr>
        <sz val="11"/>
        <color rgb="FF000000"/>
        <rFont val="Symbol"/>
      </rPr>
      <t>³</t>
    </r>
    <r>
      <rPr>
        <sz val="11"/>
        <color rgb="FF000000"/>
        <rFont val="Calibri"/>
      </rPr>
      <t xml:space="preserve"> 300; 2: N</t>
    </r>
    <r>
      <rPr>
        <vertAlign val="subscript"/>
        <sz val="11"/>
        <color rgb="FF000000"/>
        <rFont val="Calibri"/>
      </rPr>
      <t>L</t>
    </r>
    <r>
      <rPr>
        <sz val="11"/>
        <color rgb="FF000000"/>
        <rFont val="Calibri"/>
      </rPr>
      <t xml:space="preserve"> &lt; 300)</t>
    </r>
  </si>
  <si>
    <t>Persentase responden lulusan</t>
  </si>
  <si>
    <r>
      <t>P</t>
    </r>
    <r>
      <rPr>
        <vertAlign val="subscript"/>
        <sz val="11"/>
        <color rgb="FF000000"/>
        <rFont val="Calibri"/>
      </rPr>
      <t>rmin</t>
    </r>
    <r>
      <rPr>
        <sz val="11"/>
        <color rgb="FF000000"/>
        <rFont val="Calibri"/>
      </rPr>
      <t xml:space="preserve"> = Persentase responden minimum</t>
    </r>
  </si>
  <si>
    <t>Waktu tunggu lulusan untuk mendapatkan pekerjaan pertama dalam 3 tahun, mulai TS-4 s.d. TS-2.
Tabel 8.d.1) LKPS</t>
  </si>
  <si>
    <t>Thn Lulus TS-4</t>
  </si>
  <si>
    <r>
      <t>Jumlah lulusan dengan W</t>
    </r>
    <r>
      <rPr>
        <sz val="11"/>
        <color rgb="FF000000"/>
        <rFont val="Calibri"/>
      </rPr>
      <t>T &lt; 3 bulan</t>
    </r>
  </si>
  <si>
    <r>
      <t>Jumlah lulusan dengan 3 bulan ≤ W</t>
    </r>
    <r>
      <rPr>
        <sz val="11"/>
        <color rgb="FF000000"/>
        <rFont val="Calibri"/>
      </rPr>
      <t>T ≤ 6 bulan</t>
    </r>
  </si>
  <si>
    <r>
      <t>Jumlah lulusan dengan W</t>
    </r>
    <r>
      <rPr>
        <sz val="11"/>
        <color rgb="FF000000"/>
        <rFont val="Calibri"/>
      </rPr>
      <t>T &gt; 6 bulan</t>
    </r>
  </si>
  <si>
    <t>Thn Lulus TS-3</t>
  </si>
  <si>
    <t>Thn Lulus TS-2</t>
  </si>
  <si>
    <t>mid1 =</t>
  </si>
  <si>
    <t>mid2 =</t>
  </si>
  <si>
    <t>mid3 =</t>
  </si>
  <si>
    <t>WT = Rata-rata masa tunggu lulusan (bulan)</t>
  </si>
  <si>
    <t>Skor Awal</t>
  </si>
  <si>
    <t>STUDI PENELUSURAN LULUSAN
TABEL REFERENSI 8.d.2)</t>
  </si>
  <si>
    <r>
      <t>N</t>
    </r>
    <r>
      <rPr>
        <vertAlign val="subscript"/>
        <sz val="11"/>
        <color rgb="FF000000"/>
        <rFont val="Calibri"/>
      </rPr>
      <t>J2</t>
    </r>
    <r>
      <rPr>
        <sz val="11"/>
        <color rgb="FF000000"/>
        <rFont val="Calibri"/>
      </rPr>
      <t xml:space="preserve"> = Jumlah lulusan pada TS-2 yang terlacak</t>
    </r>
  </si>
  <si>
    <t>Kesesuaian bidang kerja. 
Tabel 8.d.2) LKPS</t>
  </si>
  <si>
    <t>Jumlah lulusan dengan kesesuaian bidang kerja rendah</t>
  </si>
  <si>
    <t>Jumlah lulusan dengan kesesuaian bidang kerja sedang</t>
  </si>
  <si>
    <t>Jumlah lulusan dengan kesesuaian bidang kerja tinggi</t>
  </si>
  <si>
    <t>rendah</t>
  </si>
  <si>
    <t>sedang</t>
  </si>
  <si>
    <t>tinggi</t>
  </si>
  <si>
    <t>PBS = Kesesuaian bidang kerja lulusan saat mendapatkan pekerjaan pertama.</t>
  </si>
  <si>
    <t>STUDI PENELUSURAN LULUSAN
TABEL REFERENSI 8.e.1)</t>
  </si>
  <si>
    <r>
      <t>N</t>
    </r>
    <r>
      <rPr>
        <vertAlign val="subscript"/>
        <sz val="11"/>
        <color rgb="FF000000"/>
        <rFont val="Calibri"/>
      </rPr>
      <t>J4</t>
    </r>
    <r>
      <rPr>
        <sz val="11"/>
        <color rgb="FF000000"/>
        <rFont val="Calibri"/>
      </rPr>
      <t xml:space="preserve"> = Jumlah lulusan pada TS-4 yang terlacak (bekerja/berwirausaha)</t>
    </r>
  </si>
  <si>
    <r>
      <t>N</t>
    </r>
    <r>
      <rPr>
        <vertAlign val="subscript"/>
        <sz val="11"/>
        <color rgb="FF000000"/>
        <rFont val="Calibri"/>
      </rPr>
      <t>J3</t>
    </r>
    <r>
      <rPr>
        <sz val="11"/>
        <color rgb="FF000000"/>
        <rFont val="Calibri"/>
      </rPr>
      <t xml:space="preserve"> = Jumlah lulusan pada TS-3 yang terlacak (bekerja/berwirausaha)</t>
    </r>
  </si>
  <si>
    <r>
      <t>N</t>
    </r>
    <r>
      <rPr>
        <vertAlign val="subscript"/>
        <sz val="11"/>
        <color rgb="FF000000"/>
        <rFont val="Calibri"/>
      </rPr>
      <t>J2</t>
    </r>
    <r>
      <rPr>
        <sz val="11"/>
        <color rgb="FF000000"/>
        <rFont val="Calibri"/>
      </rPr>
      <t xml:space="preserve"> = Jumlah lulusan pada TS-2 yang terlacak (bekerja/berwirausaha)</t>
    </r>
  </si>
  <si>
    <t>Tingkat dan ukuran tempat kerja lulusan.
Tabel 8.e.1) LKPS</t>
  </si>
  <si>
    <t>Tahun Lulus TS-4</t>
  </si>
  <si>
    <t>NI = Jumlah lulusan yang bekerja di badan usaha tingkat multi nasional/internasional.</t>
  </si>
  <si>
    <t>NN = Jumlah lulusan yang bekerja di badan usaha tingkat nasional atau berwirausaha yang berizin.</t>
  </si>
  <si>
    <t>NW = Jumlah lulusan yang bekerja di badan usaha tingkat wilayah/lokal atau berwirausaha tidak berizin.</t>
  </si>
  <si>
    <t>Tahun Lulus TS-3</t>
  </si>
  <si>
    <t>Tahun Lulus TS-2</t>
  </si>
  <si>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N</t>
    </r>
    <r>
      <rPr>
        <vertAlign val="subscript"/>
        <sz val="11"/>
        <color rgb="FF000000"/>
        <rFont val="Calibri"/>
      </rPr>
      <t>L</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</si>
  <si>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N</t>
    </r>
    <r>
      <rPr>
        <vertAlign val="subscript"/>
        <sz val="11"/>
        <color rgb="FF000000"/>
        <rFont val="Calibri"/>
      </rPr>
      <t>L</t>
    </r>
  </si>
  <si>
    <r>
      <t>R</t>
    </r>
    <r>
      <rPr>
        <vertAlign val="subscript"/>
        <sz val="11"/>
        <color rgb="FF000000"/>
        <rFont val="Calibri"/>
      </rPr>
      <t>W</t>
    </r>
    <r>
      <rPr>
        <sz val="11"/>
        <color rgb="FF000000"/>
        <rFont val="Calibri"/>
      </rPr>
      <t xml:space="preserve"> = N</t>
    </r>
    <r>
      <rPr>
        <vertAlign val="subscript"/>
        <sz val="11"/>
        <color rgb="FF000000"/>
        <rFont val="Calibri"/>
      </rPr>
      <t>W</t>
    </r>
    <r>
      <rPr>
        <sz val="11"/>
        <color rgb="FF000000"/>
        <rFont val="Calibri"/>
      </rPr>
      <t xml:space="preserve"> / N</t>
    </r>
    <r>
      <rPr>
        <vertAlign val="subscript"/>
        <sz val="11"/>
        <color rgb="FF000000"/>
        <rFont val="Calibri"/>
      </rPr>
      <t>L</t>
    </r>
  </si>
  <si>
    <t>STUDI PENELUSURAN LULUSAN
TABEL REFERENSI 8.e.2)</t>
  </si>
  <si>
    <r>
      <t>N</t>
    </r>
    <r>
      <rPr>
        <vertAlign val="subscript"/>
        <sz val="11"/>
        <color rgb="FF000000"/>
        <rFont val="Calibri"/>
      </rPr>
      <t>J4</t>
    </r>
    <r>
      <rPr>
        <sz val="11"/>
        <color rgb="FF000000"/>
        <rFont val="Calibri"/>
      </rPr>
      <t xml:space="preserve"> = Jumlah lulusan pada TS-4 yang dinilai oleh pengguna</t>
    </r>
  </si>
  <si>
    <r>
      <t>N</t>
    </r>
    <r>
      <rPr>
        <vertAlign val="subscript"/>
        <sz val="11"/>
        <color rgb="FF000000"/>
        <rFont val="Calibri"/>
      </rPr>
      <t>J3</t>
    </r>
    <r>
      <rPr>
        <sz val="11"/>
        <color rgb="FF000000"/>
        <rFont val="Calibri"/>
      </rPr>
      <t xml:space="preserve"> = Jumlah lulusan pada TS-3 yang dinilai oleh pengguna</t>
    </r>
  </si>
  <si>
    <r>
      <t>N</t>
    </r>
    <r>
      <rPr>
        <vertAlign val="subscript"/>
        <sz val="11"/>
        <color rgb="FF000000"/>
        <rFont val="Calibri"/>
      </rPr>
      <t>J2</t>
    </r>
    <r>
      <rPr>
        <sz val="11"/>
        <color rgb="FF000000"/>
        <rFont val="Calibri"/>
      </rPr>
      <t xml:space="preserve"> = Jumlah lulusan pada TS-2 yang dinilai oleh pengguna</t>
    </r>
  </si>
  <si>
    <t>Persentase responden pengguna lulusan</t>
  </si>
  <si>
    <t>Tingkat kepuasan pengguna lulusan.
Tabel 8.e.2) LKPS</t>
  </si>
  <si>
    <t>Etika</t>
  </si>
  <si>
    <t>TK1</t>
  </si>
  <si>
    <t>Keahlian</t>
  </si>
  <si>
    <t>TK2</t>
  </si>
  <si>
    <t>Bahasa</t>
  </si>
  <si>
    <t>TK3</t>
  </si>
  <si>
    <t>Teknologi Informasi</t>
  </si>
  <si>
    <t>TK4</t>
  </si>
  <si>
    <t>Komunikasi</t>
  </si>
  <si>
    <t>TK5</t>
  </si>
  <si>
    <t>Kerjasama</t>
  </si>
  <si>
    <t>TK6</t>
  </si>
  <si>
    <t>Pengembangan Diri</t>
  </si>
  <si>
    <t>TK7</t>
  </si>
  <si>
    <t xml:space="preserve">C.9.4.b) Luaran Dharma Penelitian dan PkM </t>
  </si>
  <si>
    <t>Publikasi ilmiah mahasiswa, yang dihasilkan secara mandiri atau bersama DTPS, dengan judul yang relevan dengan bidang program studi dalam 3 tahun terakhir.
Tabel 8.f.1) LKPS</t>
  </si>
  <si>
    <r>
      <t>N</t>
    </r>
    <r>
      <rPr>
        <vertAlign val="subscript"/>
        <sz val="11"/>
        <color rgb="FF000000"/>
        <rFont val="Calibri"/>
      </rPr>
      <t>M</t>
    </r>
    <r>
      <rPr>
        <sz val="11"/>
        <color rgb="FF000000"/>
        <rFont val="Calibri"/>
      </rPr>
      <t xml:space="preserve"> = Jumlah mahasiswa pada saat TS. </t>
    </r>
  </si>
  <si>
    <t>Luaran penelitian dan PkM yang dihasilkan mahasiswa, baik secara mandiri atau bersama DTPS dalam 3 tahun terakhir.
Tabel 8.f.4) LKPS</t>
  </si>
  <si>
    <r>
      <t>N</t>
    </r>
    <r>
      <rPr>
        <vertAlign val="subscript"/>
        <sz val="11"/>
        <color rgb="FF000000"/>
        <rFont val="Calibri"/>
      </rPr>
      <t>LP</t>
    </r>
    <r>
      <rPr>
        <sz val="11"/>
        <color rgb="FF000000"/>
        <rFont val="Calibri"/>
      </rPr>
      <t xml:space="preserve"> = (2 x (N</t>
    </r>
    <r>
      <rPr>
        <vertAlign val="subscript"/>
        <sz val="11"/>
        <color rgb="FF000000"/>
        <rFont val="Calibri"/>
      </rPr>
      <t>A</t>
    </r>
    <r>
      <rPr>
        <sz val="11"/>
        <color rgb="FF000000"/>
        <rFont val="Calibri"/>
      </rPr>
      <t xml:space="preserve"> + N</t>
    </r>
    <r>
      <rPr>
        <vertAlign val="subscript"/>
        <sz val="11"/>
        <color rgb="FF000000"/>
        <rFont val="Calibri"/>
      </rPr>
      <t>B</t>
    </r>
    <r>
      <rPr>
        <sz val="11"/>
        <color rgb="FF000000"/>
        <rFont val="Calibri"/>
      </rPr>
      <t xml:space="preserve"> + N</t>
    </r>
    <r>
      <rPr>
        <vertAlign val="subscript"/>
        <sz val="11"/>
        <color rgb="FF000000"/>
        <rFont val="Calibri"/>
      </rPr>
      <t>C</t>
    </r>
    <r>
      <rPr>
        <sz val="11"/>
        <color rgb="FF000000"/>
        <rFont val="Calibri"/>
      </rPr>
      <t>) + N</t>
    </r>
    <r>
      <rPr>
        <vertAlign val="subscript"/>
        <sz val="11"/>
        <color rgb="FF000000"/>
        <rFont val="Calibri"/>
      </rPr>
      <t>D</t>
    </r>
    <r>
      <rPr>
        <sz val="11"/>
        <color rgb="FF000000"/>
        <rFont val="Calibri"/>
      </rPr>
      <t>)</t>
    </r>
  </si>
  <si>
    <t>D  Analisis dan Penetapan Program Pengembangan
D.1 
Analisis dan Capaian Kinerja</t>
  </si>
  <si>
    <t>Keserbacakupan (kelengkapan, keluasan, dan kedalaman), ketepatan, ketajaman, dan kesesuaian analisis capaian kinerja serta konsistensi dengan setiap kriteria.</t>
  </si>
  <si>
    <t>UPPS telah melakukan analisis capaian kinerja yang: 
1) analisisnya didukung oleh data/informasi yang relevan (merujuk pada pencapaian standar mutu perguruan tinggi) dan berkualitas (andal dan memadai) yang didukung oleh keberadaan pangkalan data institusi yang terintegrasi.
2) konsisten dengan seluruh kriteria yang diuraikan sebelumnya, 
3) analisisnya dilakukan secara komprehensif, tepat, dan tajam untuk mengidentifikasi akar masalah di  UPPS.
4) hasilnya dipublikasikan kepada para pemangku kepentingan internal dan eksternal serta mudah diakses.</t>
  </si>
  <si>
    <t>UPPS telah melakukan analisis capaian kinerja yang: 
1) analisisnya didukung oleh data/informasi yang relevan (merujuk pada pencapaian standar mutu perguruan tinggi) dan berkualitas (andal dan memadai) yang didukung oleh keberadaan pangkalan data institusi yang belum terintegrasi.
2) konsisten dengan sebagian besar (7 s.d. 8) kriteria yang diuraikan sebelumnya, 
3) analisisnya dilakukan secara komprehensif dan tepat untuk mengidentifikasi akar masalah di UPPS.
4) hasilnya dipublikasikan kepada para pemangku kepentingan internal serta mudah diakses.</t>
  </si>
  <si>
    <t>UPPS telah melakukan analisis capaian kinerja yang: 
1) analisisnya didukung oleh data/informasi yang relevan (merujuk pada pencapaian standar mutu perguruan tinggi) dan berkualitas (andal dan memadai).
2) konsisten dengan sebagian (5 s.d. 6) kriteria yang diuraikan sebelumnya, 
3) analisisnya dilakukan secara komprehensif untuk mengidentifikasi akar masalah di UPPS.
4) hasilnya dipublikasikan kepada para pemangku kepentingan internal.</t>
  </si>
  <si>
    <t>UPPS telah melakukan analisis capaian kinerja yang: 
1) analisisnya tidak sepenuhnya didukung oleh data/informasi yang relevan (merujuk pada pencapaian standar mutu perguruan tinggi) dan berkualitas (andal dan memadai).
2) konsisten dengan sebagian kecil (kurang dari 5) kriteria yang diuraikan sebelumnya, 
3) analisisnya dilakukan tidak secara komprehensif untuk mengidentifikasi akar masalah di UPPS.
4) hasilnya tidak dipublikasikan.</t>
  </si>
  <si>
    <t>UPPS tidak melakukan analisis capaian kinerja.</t>
  </si>
  <si>
    <t>D.2 
Analisis SWOT atau Analisis Lain yang Relevan</t>
  </si>
  <si>
    <t>Ketepatan analisis SWOT atau analisis yang relevan di dalam mengembangkan strategi.</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</si>
  <si>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</si>
  <si>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dan
3) merumuskan strategi pengembangan UPPS yang berkesesuaian.</t>
  </si>
  <si>
    <t>UPPS melakukan analisis SWOT atau analisis lain yang relevan, serta memenuhi aspek-aspek sebagai berikut:
1) melakukan identifikasi kekuatan atau faktor pendorong, kelemahan atau faktor penghambat, peluang dan ancaman yang dihadapi UPPS dilakukan secara tepat, dan 
2) memiliki keterkaitan dengan hasil analisis capaian kinerja.</t>
  </si>
  <si>
    <t>UPPS melakukan analisis SWOT atau analisis lain yang memenuhi aspek-aspek sebagai berikut:
1) melakukan identifikasi kekuatan atau faktor pendorong, kelemahan atau faktor penghambat, peluang dan ancaman yang dihadapi UPPS, dan
2) memiliki keterkaitan dengan hasil analisis capaian kinerja, namun tidak terstruktur dan tidak sistematis.</t>
  </si>
  <si>
    <t>UPPS tidak melakukan analisis untuk mengembangkan strategi.</t>
  </si>
  <si>
    <t>D.3
Program Pengembangan</t>
  </si>
  <si>
    <t>Ketepatan di dalam menetapkan prioritas program pengembangan.</t>
  </si>
  <si>
    <t>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dan
5) program yang menjamin keberlanjutan.</t>
  </si>
  <si>
    <t>UPPS menetapkan prioritas program pengembangan berdasarkan hasil analisis SWOT atau analisis lainnya yang mempertimbangkan secara komprehensif:
1) kapasitas UPPS,
2) kebutuhan UPPS dan PS di masa depan,
3) rencana strategis UPPS yang berlaku, dan
4) aspirasi dari pemangku kepentingan internal.</t>
  </si>
  <si>
    <t>UPPS menetapkan prioritas program pengembangan berdasarkan hasil analisis SWOT atau analisis lainnya yang mempertimbangkan secara komprehensif:
1) kapasitas UPPS,
2) kebutuhan UPPS dan PS di masa depan, dan
3) rencana strategis UPPS yang berlaku.</t>
  </si>
  <si>
    <t>UPPS menetapkan prioritas program pengembangan namun belum mempertimbangan secara komprehensif:
1) kapasitas UPPS,
2) kebutuhan UPPS dan PS, dan
3) rencana strategis UPPS yang berlaku.</t>
  </si>
  <si>
    <t>UPPS tidak menetapkan prioritas program pengembangan.</t>
  </si>
  <si>
    <t xml:space="preserve">D.4 
Program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</si>
  <si>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</si>
  <si>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3) rencana penjaminan mutu yang berkelanjutan, dan 
4) keberadaan dukungan stakeholders eksternal.</t>
  </si>
  <si>
    <t>UPPS memiliki kebijakan dan upaya yang diturunkan ke dalam berbagai peraturan untuk menjamin keberlanjutan program yang mencakup:
1) alokasi sumber daya, 
2) kemampuan melaksanakan, dan
3) rencana penjaminan mutu yang berkelanjutan.</t>
  </si>
  <si>
    <t>UPPS memiliki kebijakan dan upaya untuk menjamin keberlanjutan program yang mencakup:
1) alokasi sumber daya, 
2) kemampuan melaksanakan, dan
3) rencana penjaminan mutu yang berkelanjutan.</t>
  </si>
  <si>
    <t>UPPS memiliki kebijakan dan upaya namun belum cukup untuk menjamin keberlanjutan program.</t>
  </si>
  <si>
    <t>UPPS tidak memiliki kebijakan dan upaya untuk menjamin keberlanjutan program.</t>
  </si>
  <si>
    <t>LAPORAN ASESMEN KECUKUPAN</t>
  </si>
  <si>
    <t>PENILAIAN ASESMEN KECUKUPAN</t>
  </si>
  <si>
    <t>Penilaian Individual</t>
  </si>
  <si>
    <t>Nilai Asesmen Kecukupan</t>
  </si>
  <si>
    <t>Nama Asesor:</t>
  </si>
  <si>
    <t>Syarat Perlu Terakreditasi</t>
  </si>
  <si>
    <t>Kode Panel:</t>
  </si>
  <si>
    <t>Syarat Perlu Peringkat Unggul</t>
  </si>
  <si>
    <t>Tanggal Penilaian:</t>
  </si>
  <si>
    <t>Syarat Perlu Peringkat Baik Sekali</t>
  </si>
  <si>
    <t>NO.</t>
  </si>
  <si>
    <t>KRITERIA/ELEMEN/INDIKATOR</t>
  </si>
  <si>
    <t>BOBOT</t>
  </si>
  <si>
    <t>SKOR x BOBOT</t>
  </si>
  <si>
    <t>SYARAT PERLU TERAKREDITASI</t>
  </si>
  <si>
    <t>SYARAT PERLU PERINGKAT 
UNGGUL</t>
  </si>
  <si>
    <t>SYARAT PERLU PERINGKAT 
BAIK SEKALI</t>
  </si>
  <si>
    <r>
      <t xml:space="preserve">A. Kondisi Eksternal
</t>
    </r>
    <r>
      <rPr>
        <sz val="9"/>
        <color rgb="FF000000"/>
        <rFont val="Calibri"/>
      </rPr>
      <t>Konsistensi dengan hasil analisis SWOT dan/atau analisis lain serta rencana pengembangan ke depan.</t>
    </r>
  </si>
  <si>
    <r>
      <t xml:space="preserve">B. Profil Unit Pengelola Program Studi
</t>
    </r>
    <r>
      <rPr>
        <sz val="9"/>
        <color rgb="FF000000"/>
        <rFont val="Calibri"/>
      </rPr>
      <t>Keserbacakupan informasi dalam profil dan konsistensi antara profil dengan data dan informasi yang disampaikan pada masing-masing kriteria, serta menunjukkan iklim yang kondusif untuk pengembangan dan reputasi sebagai rujukan di bidang keilmuannya.</t>
    </r>
  </si>
  <si>
    <r>
      <rPr>
        <b/>
        <sz val="9"/>
        <color rgb="FF000000"/>
        <rFont val="Calibri"/>
      </rPr>
      <t>C. Kriteria
C.1. Visi, Misi, Tujuan dan Strategi</t>
    </r>
    <r>
      <rPr>
        <sz val="9"/>
        <color rgb="FF000000"/>
        <rFont val="Calibri"/>
      </rPr>
      <t xml:space="preserve">
C.1.4. Indikator Kinerja Utama
Kesesuaian Visi, Misi, Tujuan dan Strategi (VMTS) Unit Pengelola Program Studi (UPPS) terhadap VMTS Perguruan Tinggi (PT) dan visi keilmuan Program Studi (PS) yang dikelolanya.</t>
    </r>
  </si>
  <si>
    <r>
      <rPr>
        <b/>
        <sz val="9"/>
        <color rgb="FF000000"/>
        <rFont val="Calibri"/>
      </rPr>
      <t>C.2. Tata Pamong, Tata Kelola dan Kerjasama</t>
    </r>
    <r>
      <rPr>
        <sz val="9"/>
        <color rgb="FF000000"/>
        <rFont val="Calibri"/>
      </rPr>
      <t xml:space="preserve">
C.2.4. Indikator Kinerja Utama
C.2.4.a) Sistem Tata Pamong
A. Kelengkapan struktur organisasi dan keefektifan penyelenggaraan organisasi.
B. Perwujudan good governance dan pemenuhan lima pilar sistem tata pamong, yang mencakup: 1) Kredibel, 2) Transparan, 3) Akuntabel, 4) Bertanggung jawab, 5) Adil.</t>
    </r>
  </si>
  <si>
    <t xml:space="preserve">C.2.4.b) Kepemimpinan dan Kemampuan Manajerial
A. Komitmen pimpinan UPPS.
B. Kapabilitas pimpinan UPPS, mencakup aspek: 1) perencanaan, 2) pengorganisasian, 3) penempatan personel, 4) pelaksanaan, 5) pengendalian dan pengawasan, dan 6) pelaporan yang menjadi dasar tindak lanjut. </t>
  </si>
  <si>
    <t>C.2.4.c) Kerjasama
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</si>
  <si>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 xml:space="preserve">A. Kerjasama pendidikan, penelitian, dan PkM yang relevan dengan program studi dan dikelola oleh UPPS dalam 3 tahun terakhir.
B. Kerjasama tingkat internasional, nasional, wilayah/lokal yang relevan dengan program studi dan dikelola oleh UPPS dalam 3 tahun terakhir.
Tabel 1 LKPS </t>
  </si>
  <si>
    <t>C.2.5 Indikator Kinerja Tambahan
Pelampauan SN-DIKTI (indikator kinerja tambahan) yang ditetapkan oleh UPPS pada tiap kriteria.</t>
  </si>
  <si>
    <t>C.2.6 Evaluasi Capaian Kinerja
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</si>
  <si>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C.2.7. Penjaminan Mutu
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dan 5) memiliki external benchmarking dalam peningkatan mutu.</t>
  </si>
  <si>
    <t>Skor min. = 2,0</t>
  </si>
  <si>
    <t>C.2.8. Kepuasan Pemangku Kepentingan
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</si>
  <si>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r>
      <rPr>
        <b/>
        <sz val="9"/>
        <color rgb="FF000000"/>
        <rFont val="Calibri"/>
      </rPr>
      <t>C.3. Mahasiswa</t>
    </r>
    <r>
      <rPr>
        <sz val="9"/>
        <color rgb="FF000000"/>
        <rFont val="Calibri"/>
      </rPr>
      <t xml:space="preserve">
C.3.4. Indikator Kinerja Utama
C.3.4.a) Kualitas Input Mahasiswa
A. Metoda rekrutmen dan keketatan seleksi.
Tabel 2.a LKPS
</t>
    </r>
  </si>
  <si>
    <t>C.3.4.b) Daya Tarik Program Studi
A. Peningkatan animo calon mahasiswa.
Tabel 2.a LKPS
B. Mahasiswa asing
Tabel 2.b LKPS</t>
  </si>
  <si>
    <t>C.3.4.c) Layanan Kemahasiswaan
A. Ketersediaan layanan kemahasiswaan di bidang: 1) penalaran, minat dan bakat, 2) kesejahteraan (bimbingan dan konseling, layanan beasiswa, dan layanan kesehatan), dan 3) bimbingan karir dan kewirausahaan.
B. Akses dan mutu layanan kemahasiswaan.</t>
  </si>
  <si>
    <r>
      <rPr>
        <b/>
        <sz val="9"/>
        <color rgb="FF000000"/>
        <rFont val="Calibri"/>
      </rPr>
      <t>C.4. Sumber Daya Manusia</t>
    </r>
    <r>
      <rPr>
        <sz val="9"/>
        <color rgb="FF000000"/>
        <rFont val="Calibri"/>
      </rPr>
      <t xml:space="preserve">
C.4.4. Indikator Kinerja Utama
C.4.4.a) Profil Dosen
Kecukupan jumlah DTPS.
Tabel 3.a.1) LKPS</t>
    </r>
  </si>
  <si>
    <t>Skor min. = 3,5</t>
  </si>
  <si>
    <t>Skor min. = 3,0</t>
  </si>
  <si>
    <t>Rasio jumlah mahasiswa program studi terhadap jumlah DTPS.
Tabel 2.a LKPS
Tabel 3.a.1) LKPS</t>
  </si>
  <si>
    <t>C.4.4.b) Kinerja Dosen
Pengakuan/rekognisi atas kepakaran/prestasi/kinerja DTPS.
Tabel 3.b.1) LKPS</t>
  </si>
  <si>
    <t>C.4.4.c) Pengembangan Dosen
Upaya pengembangan dosen.</t>
  </si>
  <si>
    <t xml:space="preserve">C.4.4.d) Tenaga Kependidikan
A. Kualifikasi dan kecukupan tenaga kependidikan berdasarkan jenis pekerjaannya (administrasi, pustakawan, teknisi, dll.)
B. Kualifikasi dan kecukupan laboran untuk mendukung proses pembelajaran sesuai dengan kebutuhan program studi. </t>
  </si>
  <si>
    <r>
      <rPr>
        <b/>
        <sz val="9"/>
        <color rgb="FF000000"/>
        <rFont val="Calibri"/>
      </rPr>
      <t>C.5. Keuangan, Sarana dan Prasarana</t>
    </r>
    <r>
      <rPr>
        <sz val="9"/>
        <color rgb="FF000000"/>
        <rFont val="Calibri"/>
      </rPr>
      <t xml:space="preserve">
C.5.4. Indikator Kinerja Utama
C.5.4.a) Keuangan
Biaya operasional pendidikan.
Tabel 4 LKPS</t>
    </r>
  </si>
  <si>
    <t>Realisasi investasi (SDM, sarana dan prasarana) yang mendukung penyelenggaraan tridharma.</t>
  </si>
  <si>
    <t>C.5.4.b) Sarana dan Prasarana
Kecukupan, aksesibilitas dan mutu sarana dan prasarana untuk menjamin pencapaian capaian pembelajaran dan meningkatkan suasana akademik.</t>
  </si>
  <si>
    <r>
      <rPr>
        <b/>
        <sz val="9"/>
        <color rgb="FF000000"/>
        <rFont val="Calibri"/>
      </rPr>
      <t>C.6. Pendidikan</t>
    </r>
    <r>
      <rPr>
        <sz val="9"/>
        <color rgb="FF000000"/>
        <rFont val="Calibri"/>
      </rPr>
      <t xml:space="preserve">
C.6.4. Indikator Kinerja Utama
C.6.4.a) Kurikulum
A. Keterlibatan pemangku kepentingan dalam proses evaluasi dan pemutakhiran kurikulum.
B. Kesesuaian capaian pembelajaran dengan profil lulusan dan jenjang KKNI/SKKNI.
C. Ketepatan struktur kurikulum dalam pembentukan capaian pembelajaran.</t>
    </r>
  </si>
  <si>
    <t>C.6.4.b) Karakteristik Proses Pembelajaran
Pemenuhan karakteristik proses pembelajaran, yang terdiri atas sifat: 1) interaktif, 2) holistik, 3) integratif, 4) saintifik, 5) kontekstual, 6) tematik, 7) efektif, 8) kolaboratif, dan 9) berpusat pada mahasiswa.</t>
  </si>
  <si>
    <t>C.6.4.c) Rencana Proses Pembelajaran
A. Ketersediaan dan kelengkapan dokumen rencana pembelajaran semester (RPS).
B. Kedalaman dan keluasan RPS sesuai dengan capaian pembelajaran lulusan.</t>
  </si>
  <si>
    <t>C.6.4.d) Pelaksanaan Proses Pembelajaran
A. Bentuk interaksi antara dosen, mahasiswa dan sumber belajar.
B. Pemantauan kesesuaian proses terhadap rencana pembelajaran.
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
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
E. Kesesuaian metode pembelajaran dengan capaian pembelajaran. Contoh: RBE (research based education), IBE (industry based education), teaching factory/teaching industry, dll.</t>
  </si>
  <si>
    <t>C.6.4.e) Monitoring dan Evaluasi Proses Pembelajaran
Monitoring dan evaluasi pelaksanaan proses pembelajaran mencakup karakteristik, perencanaan, pelaksanaan, proses pembelajaran dan beban belajar mahasiswa untuk memperoleh capaian pembelajaran lulusan.</t>
  </si>
  <si>
    <t>C.6.4.f) Penilaian Pembelajaran
A. Mutu pelaksanaan penilaian pembelajaran (proses dan hasil belajar mahasiswa) untuk mengukur ketercapaian capaian pembelajaran berdasarkan prinsip penilaian yang mencakup:1) edukatif, 2) otentik, 3) objektif, 4) akuntabel, dan 5) transparan, yang dilakukan secara terintegrasi.
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
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</si>
  <si>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C.6.4.g) Integrasi kegiatan penelitian dan PkM dalam pembelajaran
Integrasi kegiatan penelitian dan PkM dalam pembelajaran oleh DTPS dalam 3 tahun terakhir.
Tabel 5.b LKPS</t>
  </si>
  <si>
    <t>C.6.4.h) Suasana Akademik
Keterlaksanaan dan keberkalaan program dan kegiatan diluar kegiatan pembelajaran terstruktur untuk meningkatkan suasana akademik.
Contoh: kegiatan himpunan mahasiswa, kuliah umum/studium generale, seminar ilmiah, bedah buku.</t>
  </si>
  <si>
    <t>C.6.4.i) Kepuasan Mahasiswa
A. Tingkat kepuasan mahasiswa terhadap proses pendidikan.
Tabel 5.c LKPS
B. Analisis dan tindak lanjut dari hasil pengukuran kepuasan mahasiswa.</t>
  </si>
  <si>
    <r>
      <rPr>
        <b/>
        <sz val="9"/>
        <color rgb="FF000000"/>
        <rFont val="Calibri"/>
      </rPr>
      <t>C.7. Penelitian</t>
    </r>
    <r>
      <rPr>
        <sz val="9"/>
        <color rgb="FF000000"/>
        <rFont val="Calibri"/>
      </rPr>
      <t xml:space="preserve">
C.7.4. Indikator Kinerja Utama
C.7.4.a) Relevansi Penelitian
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r>
  </si>
  <si>
    <t>C.7.4.b) Penelitian Dosen dan Mahasiswa
Penelitian DTPS yang dalam pelaksanaannya melibatkan mahasiswa program studi dalam 3 tahun terakhir.
Tabel 6.a LKPS</t>
  </si>
  <si>
    <r>
      <rPr>
        <b/>
        <sz val="9"/>
        <color rgb="FF000000"/>
        <rFont val="Calibri"/>
      </rPr>
      <t>C.8. Pengabdian kepada Masyarakat</t>
    </r>
    <r>
      <rPr>
        <sz val="9"/>
        <color rgb="FF000000"/>
        <rFont val="Calibri"/>
      </rPr>
      <t xml:space="preserve">
C.8.4. Indikator Kinerja Utama
C.8.4.a) Relevansi PkM
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r>
  </si>
  <si>
    <t>C.8.4.b) PkM Dosen dan Mahasiswa
PkM DTPS yang dalam pelaksanaannya melibatkan mahasiswa program studi dalam 3 tahun terakhir.
Tabel 7 LKPS</t>
  </si>
  <si>
    <r>
      <rPr>
        <b/>
        <sz val="9"/>
        <color rgb="FF000000"/>
        <rFont val="Calibri"/>
      </rPr>
      <t>C.9. Luaran dan Capaian Tridharma</t>
    </r>
    <r>
      <rPr>
        <sz val="9"/>
        <color rgb="FF000000"/>
        <rFont val="Calibri"/>
      </rPr>
      <t xml:space="preserve">
C.9.4. Indikator Kinerja Utama
C.9.4.a) Luaran Dharma  Pendidikan
Analisis pemenuhan capaian pembelajaran lulusan (CPL) yang diukur dengan metoda yang sahih dan relevan, mencakup aspek: 1) keserbacakupan, 
2) kedalaman, dan 3) kebermanfaatan analisis yang ditunjukkan dengan peningkatan CPL dari waktu ke waktu dalam 3 tahun terakhir.</t>
    </r>
  </si>
  <si>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dan 5) hasilnya disosialisasikan dan digunakan untuk pengembangan kurikulum dan pembelajaran. </t>
  </si>
  <si>
    <t>Waktu tunggu.
Tabel 8.d.1) LKPS</t>
  </si>
  <si>
    <t>C.9.4.b) Luaran Dharma Penelitian dan PkM 
Publikasi ilmiah mahasiswa, yang dihasilkan secara mandiri atau bersama DTPS, dengan judul yang relevan dengan bidang program studi dalam 3 tahun terakhir.
Tabel 8.f.1) LKPS</t>
  </si>
  <si>
    <r>
      <t xml:space="preserve">D  Analisis dan Penetapan Program Pengembangan
D.1 
Analisis dan Capaian Kinerja
</t>
    </r>
    <r>
      <rPr>
        <sz val="9"/>
        <color rgb="FF000000"/>
        <rFont val="Calibri"/>
      </rPr>
      <t>Keserbacakupan (kelengkapan, keluasan, dan kedalaman), ketepatan, ketajaman, dan kesesuaian analisis capaian kinerja serta konsistensi dengan setiap kriteria.</t>
    </r>
  </si>
  <si>
    <r>
      <t xml:space="preserve">D.2 
Analisis SWOT atau Analisis Lain yang Relevan
</t>
    </r>
    <r>
      <rPr>
        <sz val="9"/>
        <color rgb="FF000000"/>
        <rFont val="Calibri"/>
      </rPr>
      <t>Ketepatan analisis SWOT atau analisis yang relevan di dalam mengembangkan strategi.</t>
    </r>
  </si>
  <si>
    <r>
      <t xml:space="preserve">D.3
Program Pengembangan
</t>
    </r>
    <r>
      <rPr>
        <sz val="9"/>
        <color rgb="FF000000"/>
        <rFont val="Calibri"/>
      </rPr>
      <t>Ketepatan di dalam menetapkan prioritas program pengembangan.</t>
    </r>
  </si>
  <si>
    <r>
      <t xml:space="preserve">D.4 
Program Keberlanjutan
</t>
    </r>
    <r>
      <rPr>
        <sz val="9"/>
        <color rgb="FF000000"/>
        <rFont val="Calibri"/>
      </rPr>
      <t>UPPS memiliki kebijakan, ketersediaan sumberdaya, kemampuan melaksanakan, dan kerealistikan program.</t>
    </r>
  </si>
  <si>
    <t>ttd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</si>
</sst>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_);_(* \(#,##0\);_(* &quot;-&quot;??_);_(@_)"/>
    <numFmt numFmtId="167" formatCode="[$-409]d\-mmm\-yyyy;@"/>
  </numFmts>
  <fonts count="32" x14ac:knownFonts="1">
    <font>
      <sz val="11"/>
      <color rgb="FF000000"/>
      <name val="Calibri"/>
    </font>
    <font>
      <sz val="12"/>
      <color rgb="FF000000"/>
      <name val="Calibri"/>
    </font>
    <font>
      <b/>
      <sz val="16"/>
      <color rgb="FFFFFFFF"/>
      <name val="Calibri"/>
    </font>
    <font>
      <b/>
      <sz val="26"/>
      <color rgb="FFFFFFFF"/>
      <name val="Calibri"/>
    </font>
    <font>
      <b/>
      <sz val="14"/>
      <color rgb="FFFFFFFF"/>
      <name val="Calibri"/>
    </font>
    <font>
      <sz val="18"/>
      <color rgb="FF000000"/>
      <name val="Calibri"/>
    </font>
    <font>
      <b/>
      <sz val="18"/>
      <color rgb="FFFFFFFF"/>
      <name val="Calibri"/>
    </font>
    <font>
      <b/>
      <sz val="18"/>
      <color rgb="FF000000"/>
      <name val="Calibri"/>
    </font>
    <font>
      <sz val="11"/>
      <color rgb="FFFFFF00"/>
      <name val="Calibri"/>
    </font>
    <font>
      <u/>
      <sz val="11"/>
      <color rgb="FF000000"/>
      <name val="Calibri"/>
    </font>
    <font>
      <b/>
      <sz val="11"/>
      <color rgb="FFFFFFFF"/>
      <name val="Calibri"/>
    </font>
    <font>
      <b/>
      <sz val="18"/>
      <color rgb="FFFFFF00"/>
      <name val="Calibri"/>
    </font>
    <font>
      <sz val="14"/>
      <color rgb="FF000000"/>
      <name val="Calibri"/>
    </font>
    <font>
      <sz val="14"/>
      <color rgb="FF92D050"/>
      <name val="Calibri"/>
    </font>
    <font>
      <sz val="9"/>
      <color rgb="FF000000"/>
      <name val="Arial"/>
    </font>
    <font>
      <sz val="11"/>
      <color rgb="FFFFFFFF"/>
      <name val="Calibri"/>
    </font>
    <font>
      <b/>
      <sz val="12"/>
      <color rgb="FF000000"/>
      <name val="Calibri"/>
    </font>
    <font>
      <b/>
      <sz val="11"/>
      <color rgb="FF000000"/>
      <name val="Calibri"/>
    </font>
    <font>
      <b/>
      <sz val="9"/>
      <color rgb="FF000000"/>
      <name val="Calibri"/>
    </font>
    <font>
      <sz val="9"/>
      <color rgb="FF000000"/>
      <name val="Calibri"/>
    </font>
    <font>
      <b/>
      <sz val="10"/>
      <color rgb="FF000000"/>
      <name val="Calibri"/>
    </font>
    <font>
      <sz val="10"/>
      <color rgb="FF000000"/>
      <name val="Calibri"/>
    </font>
    <font>
      <b/>
      <sz val="22"/>
      <color rgb="FF000000"/>
      <name val="Calibri"/>
    </font>
    <font>
      <b/>
      <u/>
      <sz val="11"/>
      <color rgb="FF000000"/>
      <name val="Calibri"/>
    </font>
    <font>
      <b/>
      <sz val="12"/>
      <color rgb="FFFFFFFF"/>
      <name val="Calibri"/>
    </font>
    <font>
      <b/>
      <sz val="12"/>
      <color rgb="FFFFFF00"/>
      <name val="Calibri"/>
    </font>
    <font>
      <i/>
      <sz val="11"/>
      <color rgb="FF000000"/>
      <name val="Calibri"/>
    </font>
    <font>
      <vertAlign val="subscript"/>
      <sz val="11"/>
      <color rgb="FF000000"/>
      <name val="Calibri"/>
    </font>
    <font>
      <sz val="11"/>
      <color rgb="FF000000"/>
      <name val="Symbol"/>
    </font>
    <font>
      <sz val="11"/>
      <color rgb="FF000000"/>
      <name val="Calibri"/>
      <family val="2"/>
    </font>
    <font>
      <sz val="11"/>
      <name val="Calibri"/>
      <family val="2"/>
    </font>
    <font>
      <b/>
      <sz val="11"/>
      <color rgb="FFFFFFFF"/>
      <name val="Calibri"/>
      <family val="2"/>
    </font>
  </fonts>
  <fills count="19">
    <fill>
      <patternFill patternType="none"/>
    </fill>
    <fill>
      <patternFill patternType="gray125"/>
    </fill>
    <fill>
      <patternFill patternType="none"/>
    </fill>
    <fill>
      <patternFill patternType="solid">
        <fgColor rgb="FF008080"/>
        <bgColor rgb="FFFFFFFF"/>
      </patternFill>
    </fill>
    <fill>
      <patternFill patternType="solid">
        <fgColor rgb="FFFFFF00"/>
        <bgColor rgb="FFFFFFFF"/>
      </patternFill>
    </fill>
    <fill>
      <patternFill patternType="solid">
        <fgColor rgb="FFBFBFBF"/>
        <bgColor rgb="FFFFFFFF"/>
      </patternFill>
    </fill>
    <fill>
      <patternFill patternType="solid">
        <fgColor rgb="FF00FF00"/>
        <bgColor rgb="FFFFFFFF"/>
      </patternFill>
    </fill>
    <fill>
      <patternFill patternType="solid">
        <fgColor rgb="FF00B050"/>
        <bgColor rgb="FFFFFFFF"/>
      </patternFill>
    </fill>
    <fill>
      <patternFill patternType="solid">
        <fgColor rgb="FFFFFFFF"/>
        <bgColor rgb="FFFFFFFF"/>
      </patternFill>
    </fill>
    <fill>
      <patternFill patternType="solid">
        <fgColor rgb="FFDAEEF3"/>
        <bgColor rgb="FFFFFFFF"/>
      </patternFill>
    </fill>
    <fill>
      <patternFill patternType="solid">
        <fgColor rgb="FF66FF33"/>
        <bgColor rgb="FFFFFFFF"/>
      </patternFill>
    </fill>
    <fill>
      <patternFill patternType="solid">
        <fgColor rgb="FF000000"/>
        <bgColor rgb="FFFFFFFF"/>
      </patternFill>
    </fill>
    <fill>
      <patternFill patternType="solid">
        <fgColor rgb="FF388194"/>
        <bgColor rgb="FFFFFFFF"/>
      </patternFill>
    </fill>
    <fill>
      <patternFill patternType="solid">
        <fgColor rgb="FFD8D8D8"/>
        <bgColor rgb="FFFFFFFF"/>
      </patternFill>
    </fill>
    <fill>
      <patternFill patternType="solid">
        <fgColor rgb="FFF79646"/>
        <bgColor rgb="FFFFFFFF"/>
      </patternFill>
    </fill>
    <fill>
      <patternFill patternType="solid">
        <fgColor rgb="FFFBD4B4"/>
        <bgColor rgb="FFFFFFFF"/>
      </patternFill>
    </fill>
    <fill>
      <patternFill patternType="solid">
        <fgColor rgb="FFEAF1DD"/>
        <bgColor rgb="FFFFFFFF"/>
      </patternFill>
    </fill>
    <fill>
      <patternFill patternType="solid">
        <fgColor rgb="FF0070C0"/>
        <bgColor rgb="FFFFFFFF"/>
      </patternFill>
    </fill>
    <fill>
      <patternFill patternType="solid">
        <fgColor rgb="FFFF0000"/>
        <bgColor rgb="FF000000"/>
      </patternFill>
    </fill>
  </fills>
  <borders count="54">
    <border>
      <left/>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s>
  <cellStyleXfs count="1">
    <xf numFmtId="0" fontId="0" fillId="0" borderId="0"/>
  </cellStyleXfs>
  <cellXfs count="383">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horizontal="center" vertical="center"/>
    </xf>
    <xf numFmtId="0" fontId="0" fillId="2" borderId="0" xfId="0"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2" borderId="0" xfId="0" applyFill="1" applyAlignment="1">
      <alignment vertical="center"/>
    </xf>
    <xf numFmtId="0" fontId="3" fillId="3" borderId="0" xfId="0" applyFont="1" applyFill="1" applyAlignment="1">
      <alignment vertical="center"/>
    </xf>
    <xf numFmtId="0" fontId="4" fillId="3" borderId="0" xfId="0" applyFont="1" applyFill="1" applyAlignment="1">
      <alignment vertical="center" wrapText="1"/>
    </xf>
    <xf numFmtId="0" fontId="0" fillId="3" borderId="0" xfId="0" applyFill="1" applyAlignment="1">
      <alignment horizontal="center" vertical="center"/>
    </xf>
    <xf numFmtId="0" fontId="5" fillId="2" borderId="0" xfId="0" applyFont="1" applyFill="1" applyAlignment="1">
      <alignment vertical="center"/>
    </xf>
    <xf numFmtId="0" fontId="0" fillId="3" borderId="0" xfId="0" applyFill="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6" fillId="3" borderId="0" xfId="0" applyFont="1" applyFill="1" applyAlignment="1">
      <alignment vertical="center" wrapText="1"/>
    </xf>
    <xf numFmtId="0" fontId="7" fillId="3" borderId="0" xfId="0" applyFont="1" applyFill="1" applyAlignment="1">
      <alignment vertical="center"/>
    </xf>
    <xf numFmtId="14" fontId="0" fillId="3" borderId="0" xfId="0" applyNumberFormat="1" applyFill="1" applyAlignment="1">
      <alignment vertical="center"/>
    </xf>
    <xf numFmtId="0" fontId="8" fillId="3" borderId="0" xfId="0" applyFont="1" applyFill="1" applyAlignment="1">
      <alignment vertical="center"/>
    </xf>
    <xf numFmtId="14" fontId="8" fillId="3" borderId="0" xfId="0" applyNumberFormat="1" applyFont="1" applyFill="1" applyAlignment="1">
      <alignment vertical="center"/>
    </xf>
    <xf numFmtId="2" fontId="0" fillId="4" borderId="1" xfId="0" applyNumberFormat="1" applyFill="1" applyBorder="1" applyAlignment="1">
      <alignment horizontal="center" vertical="center"/>
    </xf>
    <xf numFmtId="0" fontId="0" fillId="2" borderId="2" xfId="0" applyFill="1" applyBorder="1" applyAlignment="1">
      <alignment horizontal="center" vertical="center" wrapText="1"/>
    </xf>
    <xf numFmtId="1" fontId="0" fillId="2" borderId="3"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2" fontId="0" fillId="5" borderId="4" xfId="0" applyNumberFormat="1" applyFill="1" applyBorder="1" applyAlignment="1">
      <alignment horizontal="center" vertical="center"/>
    </xf>
    <xf numFmtId="0" fontId="9" fillId="2" borderId="5" xfId="0" applyFont="1" applyFill="1" applyBorder="1" applyAlignment="1">
      <alignment horizontal="center" vertical="center"/>
    </xf>
    <xf numFmtId="0" fontId="0" fillId="2" borderId="5" xfId="0" applyFill="1" applyBorder="1" applyAlignment="1">
      <alignment horizontal="left" vertical="center"/>
    </xf>
    <xf numFmtId="2" fontId="0" fillId="2" borderId="5" xfId="0" applyNumberFormat="1" applyFill="1" applyBorder="1" applyAlignment="1">
      <alignment horizontal="center" vertical="center"/>
    </xf>
    <xf numFmtId="0" fontId="0" fillId="2" borderId="0" xfId="0" applyFill="1" applyAlignment="1" applyProtection="1">
      <alignment horizontal="left" vertical="top" wrapText="1"/>
      <protection locked="0"/>
    </xf>
    <xf numFmtId="0" fontId="0" fillId="2" borderId="6" xfId="0" applyFill="1" applyBorder="1" applyAlignment="1">
      <alignment horizontal="center" vertical="center" wrapText="1"/>
    </xf>
    <xf numFmtId="1" fontId="0" fillId="2" borderId="7" xfId="0" applyNumberFormat="1" applyFill="1" applyBorder="1" applyAlignment="1" applyProtection="1">
      <alignment horizontal="center" vertical="center"/>
      <protection locked="0"/>
    </xf>
    <xf numFmtId="2" fontId="0" fillId="2" borderId="7" xfId="0" applyNumberFormat="1" applyFill="1" applyBorder="1" applyAlignment="1" applyProtection="1">
      <alignment horizontal="center" vertical="center"/>
      <protection locked="0"/>
    </xf>
    <xf numFmtId="2" fontId="0" fillId="4" borderId="8" xfId="0" applyNumberFormat="1" applyFill="1" applyBorder="1" applyAlignment="1">
      <alignment horizontal="center" vertical="center"/>
    </xf>
    <xf numFmtId="2" fontId="0" fillId="5" borderId="9" xfId="0" applyNumberFormat="1" applyFill="1" applyBorder="1" applyAlignment="1">
      <alignment horizontal="center" vertical="center"/>
    </xf>
    <xf numFmtId="0" fontId="0" fillId="2" borderId="10" xfId="0" applyFill="1" applyBorder="1" applyAlignment="1">
      <alignment horizontal="left" vertical="center"/>
    </xf>
    <xf numFmtId="2" fontId="0" fillId="2" borderId="1" xfId="0" applyNumberFormat="1" applyFill="1" applyBorder="1" applyAlignment="1" applyProtection="1">
      <alignment horizontal="center" vertical="center"/>
      <protection locked="0"/>
    </xf>
    <xf numFmtId="1" fontId="0" fillId="2" borderId="0" xfId="0" applyNumberFormat="1" applyFill="1" applyAlignment="1">
      <alignment vertical="center"/>
    </xf>
    <xf numFmtId="10" fontId="0" fillId="2" borderId="0" xfId="0" applyNumberFormat="1" applyFill="1" applyAlignment="1">
      <alignment vertical="center"/>
    </xf>
    <xf numFmtId="0" fontId="0" fillId="2" borderId="0" xfId="0" applyFill="1" applyAlignment="1">
      <alignment horizontal="left" vertical="center"/>
    </xf>
    <xf numFmtId="0" fontId="0" fillId="2" borderId="0" xfId="0" applyFill="1" applyAlignment="1">
      <alignment horizontal="left" vertical="top"/>
    </xf>
    <xf numFmtId="0" fontId="0" fillId="2" borderId="0" xfId="0" applyFill="1" applyAlignment="1">
      <alignment horizontal="right" vertical="center"/>
    </xf>
    <xf numFmtId="2" fontId="0" fillId="2" borderId="0" xfId="0" applyNumberFormat="1" applyFill="1" applyAlignment="1">
      <alignment vertical="center"/>
    </xf>
    <xf numFmtId="2" fontId="0" fillId="2" borderId="0" xfId="0" applyNumberFormat="1" applyFill="1" applyAlignment="1">
      <alignment vertical="center"/>
    </xf>
    <xf numFmtId="1" fontId="0" fillId="2" borderId="0" xfId="0" applyNumberFormat="1" applyFill="1" applyAlignment="1">
      <alignment horizontal="right" vertical="center"/>
    </xf>
    <xf numFmtId="2" fontId="0" fillId="2" borderId="0" xfId="0" applyNumberFormat="1" applyFill="1" applyAlignment="1">
      <alignment horizontal="right" vertical="center"/>
    </xf>
    <xf numFmtId="0" fontId="0" fillId="2" borderId="1" xfId="0" applyFill="1" applyBorder="1" applyAlignment="1">
      <alignment horizontal="center" vertical="center"/>
    </xf>
    <xf numFmtId="2" fontId="0" fillId="6" borderId="3"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1" fontId="0" fillId="5" borderId="3" xfId="0" applyNumberFormat="1" applyFill="1" applyBorder="1" applyAlignment="1" applyProtection="1">
      <alignment horizontal="center" vertical="center"/>
      <protection locked="0"/>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10" fontId="0" fillId="6" borderId="15" xfId="0" applyNumberFormat="1" applyFill="1" applyBorder="1" applyAlignment="1">
      <alignment horizontal="center" vertical="center"/>
    </xf>
    <xf numFmtId="2" fontId="0" fillId="6" borderId="15" xfId="0" applyNumberFormat="1" applyFill="1" applyBorder="1" applyAlignment="1">
      <alignment horizontal="center" vertical="center"/>
    </xf>
    <xf numFmtId="164" fontId="0" fillId="6" borderId="15" xfId="0" applyNumberFormat="1" applyFill="1" applyBorder="1" applyAlignment="1">
      <alignment horizontal="center" vertical="center"/>
    </xf>
    <xf numFmtId="0" fontId="0" fillId="2" borderId="0" xfId="0" applyFill="1" applyAlignment="1">
      <alignment vertical="top"/>
    </xf>
    <xf numFmtId="1" fontId="0" fillId="5"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0" fontId="0" fillId="5" borderId="15" xfId="0" applyFill="1" applyBorder="1" applyAlignment="1">
      <alignment horizontal="center" vertical="center"/>
    </xf>
    <xf numFmtId="2" fontId="0" fillId="6" borderId="15" xfId="0" applyNumberFormat="1" applyFill="1" applyBorder="1" applyAlignment="1">
      <alignment horizontal="center" vertical="center"/>
    </xf>
    <xf numFmtId="0" fontId="0" fillId="2" borderId="2" xfId="0" applyFill="1" applyBorder="1" applyAlignment="1">
      <alignment vertical="center" wrapText="1"/>
    </xf>
    <xf numFmtId="0" fontId="0" fillId="2" borderId="2" xfId="0" applyFill="1" applyBorder="1" applyAlignment="1">
      <alignment vertical="top" wrapText="1"/>
    </xf>
    <xf numFmtId="0" fontId="0" fillId="2" borderId="5" xfId="0" applyFill="1" applyBorder="1" applyAlignment="1">
      <alignment horizontal="left" vertical="center"/>
    </xf>
    <xf numFmtId="0" fontId="0" fillId="2" borderId="0" xfId="0" applyFill="1" applyAlignment="1">
      <alignment wrapText="1"/>
    </xf>
    <xf numFmtId="0" fontId="0" fillId="2" borderId="2" xfId="0" applyFill="1" applyBorder="1" applyAlignment="1">
      <alignment wrapText="1"/>
    </xf>
    <xf numFmtId="0" fontId="0" fillId="2" borderId="0" xfId="0" applyFill="1" applyAlignment="1">
      <alignment vertical="center" wrapText="1"/>
    </xf>
    <xf numFmtId="0" fontId="0" fillId="8" borderId="2" xfId="0" applyFill="1" applyBorder="1" applyAlignment="1">
      <alignment vertical="top" wrapText="1"/>
    </xf>
    <xf numFmtId="0" fontId="0" fillId="2" borderId="10" xfId="0" applyFill="1" applyBorder="1" applyAlignment="1">
      <alignment horizontal="left" vertical="center"/>
    </xf>
    <xf numFmtId="0" fontId="0" fillId="2" borderId="0" xfId="0" applyFill="1" applyAlignment="1">
      <alignment horizontal="left" vertical="center"/>
    </xf>
    <xf numFmtId="0" fontId="0" fillId="8" borderId="2" xfId="0" applyFill="1" applyBorder="1" applyAlignment="1">
      <alignment wrapText="1"/>
    </xf>
    <xf numFmtId="0" fontId="0" fillId="2" borderId="16" xfId="0" applyFill="1" applyBorder="1" applyAlignment="1">
      <alignment horizontal="left" vertical="center"/>
    </xf>
    <xf numFmtId="0" fontId="0" fillId="2" borderId="16" xfId="0" applyFill="1" applyBorder="1" applyAlignment="1">
      <alignment horizontal="right" vertical="center"/>
    </xf>
    <xf numFmtId="0" fontId="0" fillId="2" borderId="0" xfId="0" applyFill="1" applyAlignment="1">
      <alignment vertical="center"/>
    </xf>
    <xf numFmtId="2" fontId="0" fillId="5" borderId="3" xfId="0" applyNumberFormat="1" applyFill="1" applyBorder="1" applyAlignment="1" applyProtection="1">
      <alignment horizontal="center" vertical="center"/>
      <protection locked="0"/>
    </xf>
    <xf numFmtId="164" fontId="0" fillId="5" borderId="15" xfId="0" applyNumberFormat="1" applyFill="1" applyBorder="1" applyAlignment="1">
      <alignment horizontal="center" vertical="center"/>
    </xf>
    <xf numFmtId="0" fontId="0" fillId="9" borderId="17" xfId="0" applyFill="1" applyBorder="1" applyAlignment="1">
      <alignment horizontal="left" vertical="center" wrapText="1"/>
    </xf>
    <xf numFmtId="0" fontId="0" fillId="9" borderId="18" xfId="0" applyFill="1" applyBorder="1" applyAlignment="1">
      <alignment horizontal="left" vertical="center"/>
    </xf>
    <xf numFmtId="164" fontId="0" fillId="10" borderId="15" xfId="0" applyNumberFormat="1" applyFill="1" applyBorder="1" applyAlignment="1">
      <alignment horizontal="center"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5" fillId="8" borderId="0" xfId="0" applyFont="1" applyFill="1" applyAlignment="1">
      <alignment horizontal="center" vertical="center"/>
    </xf>
    <xf numFmtId="2" fontId="0" fillId="2" borderId="19" xfId="0" applyNumberFormat="1" applyFill="1" applyBorder="1" applyAlignment="1">
      <alignment horizontal="center" vertical="center"/>
    </xf>
    <xf numFmtId="1" fontId="0" fillId="5" borderId="3" xfId="0" applyNumberFormat="1" applyFill="1" applyBorder="1" applyAlignment="1">
      <alignment horizontal="center" vertical="center"/>
    </xf>
    <xf numFmtId="0" fontId="0" fillId="2" borderId="0" xfId="0" applyFill="1" applyAlignment="1">
      <alignment horizontal="right" vertical="center"/>
    </xf>
    <xf numFmtId="0" fontId="14" fillId="2" borderId="0" xfId="0" applyFont="1" applyFill="1" applyAlignment="1">
      <alignment vertical="center" wrapText="1"/>
    </xf>
    <xf numFmtId="0" fontId="0" fillId="2" borderId="20" xfId="0" applyFill="1" applyBorder="1" applyAlignment="1">
      <alignment horizontal="left" vertical="center" wrapText="1"/>
    </xf>
    <xf numFmtId="2" fontId="0" fillId="2" borderId="15" xfId="0" applyNumberFormat="1" applyFill="1" applyBorder="1" applyAlignment="1" applyProtection="1">
      <alignment horizontal="center" vertical="center"/>
      <protection locked="0"/>
    </xf>
    <xf numFmtId="0" fontId="0" fillId="2" borderId="21" xfId="0" applyFill="1" applyBorder="1" applyAlignment="1">
      <alignment horizontal="center" vertical="center" wrapText="1"/>
    </xf>
    <xf numFmtId="0" fontId="0" fillId="8" borderId="22" xfId="0" applyFill="1" applyBorder="1" applyAlignment="1">
      <alignment vertical="top" wrapText="1"/>
    </xf>
    <xf numFmtId="2" fontId="0" fillId="2" borderId="23" xfId="0" applyNumberFormat="1" applyFill="1" applyBorder="1" applyAlignment="1" applyProtection="1">
      <alignment horizontal="center" vertical="center"/>
      <protection locked="0"/>
    </xf>
    <xf numFmtId="2" fontId="0" fillId="4" borderId="3" xfId="0" applyNumberFormat="1" applyFill="1" applyBorder="1" applyAlignment="1">
      <alignment horizontal="center" vertical="center"/>
    </xf>
    <xf numFmtId="2" fontId="15" fillId="11" borderId="15" xfId="0" applyNumberFormat="1" applyFont="1" applyFill="1" applyBorder="1" applyAlignment="1" applyProtection="1">
      <alignment horizontal="center" vertical="center"/>
      <protection locked="0"/>
    </xf>
    <xf numFmtId="1" fontId="15" fillId="11" borderId="15" xfId="0" applyNumberFormat="1" applyFont="1" applyFill="1" applyBorder="1" applyAlignment="1">
      <alignment horizontal="center" vertical="center"/>
    </xf>
    <xf numFmtId="2" fontId="15" fillId="11" borderId="15" xfId="0" applyNumberFormat="1" applyFont="1" applyFill="1" applyBorder="1" applyAlignment="1">
      <alignment horizontal="center" vertical="center"/>
    </xf>
    <xf numFmtId="2" fontId="15" fillId="11" borderId="4" xfId="0" applyNumberFormat="1" applyFont="1" applyFill="1" applyBorder="1" applyAlignment="1">
      <alignment horizontal="center" vertical="center"/>
    </xf>
    <xf numFmtId="2" fontId="0" fillId="4" borderId="15" xfId="0" applyNumberFormat="1" applyFill="1" applyBorder="1" applyAlignment="1" applyProtection="1">
      <alignment horizontal="center" vertical="center"/>
      <protection locked="0"/>
    </xf>
    <xf numFmtId="1" fontId="0" fillId="5" borderId="15" xfId="0" applyNumberFormat="1" applyFill="1" applyBorder="1" applyAlignment="1">
      <alignment horizontal="center" vertical="center"/>
    </xf>
    <xf numFmtId="2" fontId="0" fillId="6" borderId="15" xfId="0" applyNumberFormat="1" applyFill="1" applyBorder="1" applyAlignment="1">
      <alignment horizontal="center" vertical="center"/>
    </xf>
    <xf numFmtId="2" fontId="15" fillId="11" borderId="1" xfId="0" applyNumberFormat="1" applyFon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2" fontId="0" fillId="5" borderId="8" xfId="0" applyNumberFormat="1" applyFill="1" applyBorder="1" applyAlignment="1">
      <alignment horizontal="center" vertical="center"/>
    </xf>
    <xf numFmtId="2" fontId="0" fillId="11" borderId="7" xfId="0" applyNumberFormat="1" applyFill="1" applyBorder="1" applyAlignment="1" applyProtection="1">
      <alignment horizontal="center" vertical="center"/>
      <protection locked="0"/>
    </xf>
    <xf numFmtId="0" fontId="0" fillId="11" borderId="6" xfId="0" applyFill="1" applyBorder="1" applyAlignment="1">
      <alignment horizontal="center" vertical="center" wrapText="1"/>
    </xf>
    <xf numFmtId="0" fontId="0" fillId="11" borderId="2" xfId="0" applyFill="1" applyBorder="1" applyAlignment="1">
      <alignment vertical="top" wrapText="1"/>
    </xf>
    <xf numFmtId="1" fontId="0" fillId="11" borderId="7" xfId="0" applyNumberFormat="1" applyFill="1" applyBorder="1" applyAlignment="1" applyProtection="1">
      <alignment horizontal="center" vertical="center"/>
      <protection locked="0"/>
    </xf>
    <xf numFmtId="9" fontId="0" fillId="6" borderId="15" xfId="0" applyNumberFormat="1" applyFill="1" applyBorder="1" applyAlignment="1">
      <alignment horizontal="center" vertical="center"/>
    </xf>
    <xf numFmtId="2" fontId="0" fillId="11" borderId="8" xfId="0" applyNumberFormat="1" applyFill="1" applyBorder="1" applyAlignment="1">
      <alignment horizontal="center" vertical="center"/>
    </xf>
    <xf numFmtId="0" fontId="0" fillId="11" borderId="22" xfId="0" applyFill="1" applyBorder="1" applyAlignment="1">
      <alignment vertical="top" wrapText="1"/>
    </xf>
    <xf numFmtId="1" fontId="0" fillId="11" borderId="23" xfId="0" applyNumberFormat="1" applyFill="1" applyBorder="1" applyAlignment="1" applyProtection="1">
      <alignment horizontal="center" vertical="center"/>
      <protection locked="0"/>
    </xf>
    <xf numFmtId="0" fontId="0" fillId="11" borderId="2" xfId="0" applyFill="1" applyBorder="1" applyAlignment="1">
      <alignment vertical="center" wrapText="1"/>
    </xf>
    <xf numFmtId="1" fontId="0" fillId="11" borderId="3" xfId="0" applyNumberFormat="1" applyFill="1" applyBorder="1" applyAlignment="1" applyProtection="1">
      <alignment vertical="center"/>
      <protection locked="0"/>
    </xf>
    <xf numFmtId="2" fontId="0" fillId="5" borderId="15"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vertical="center"/>
    </xf>
    <xf numFmtId="0" fontId="0" fillId="11" borderId="1" xfId="0" applyFill="1" applyBorder="1" applyAlignment="1">
      <alignment horizontal="center" vertical="center"/>
    </xf>
    <xf numFmtId="1" fontId="0" fillId="11" borderId="15" xfId="0" applyNumberFormat="1" applyFill="1" applyBorder="1" applyAlignment="1">
      <alignment horizontal="center" vertical="center"/>
    </xf>
    <xf numFmtId="2" fontId="0" fillId="11" borderId="4" xfId="0" applyNumberFormat="1" applyFill="1" applyBorder="1" applyAlignment="1">
      <alignment horizontal="center" vertical="center"/>
    </xf>
    <xf numFmtId="164" fontId="0" fillId="6" borderId="3" xfId="0" applyNumberFormat="1" applyFill="1" applyBorder="1" applyAlignment="1" applyProtection="1">
      <alignment horizontal="center" vertical="center"/>
      <protection locked="0"/>
    </xf>
    <xf numFmtId="0" fontId="0" fillId="2" borderId="6" xfId="0" applyFill="1" applyBorder="1" applyAlignment="1">
      <alignment vertical="center" wrapText="1"/>
    </xf>
    <xf numFmtId="165" fontId="15" fillId="11" borderId="2" xfId="0" applyNumberFormat="1" applyFont="1" applyFill="1" applyBorder="1" applyAlignment="1">
      <alignment horizontal="left" vertical="center"/>
    </xf>
    <xf numFmtId="2" fontId="15" fillId="11" borderId="3" xfId="0" applyNumberFormat="1" applyFont="1" applyFill="1" applyBorder="1" applyAlignment="1">
      <alignment horizontal="center" vertical="center"/>
    </xf>
    <xf numFmtId="10" fontId="15" fillId="11" borderId="2" xfId="0" applyNumberFormat="1" applyFont="1" applyFill="1" applyBorder="1" applyAlignment="1">
      <alignment horizontal="left" vertical="center"/>
    </xf>
    <xf numFmtId="0" fontId="15" fillId="11" borderId="21" xfId="0" applyFont="1" applyFill="1" applyBorder="1" applyAlignment="1">
      <alignment horizontal="left" vertical="center" wrapText="1"/>
    </xf>
    <xf numFmtId="0" fontId="15" fillId="11" borderId="24" xfId="0" applyFont="1" applyFill="1" applyBorder="1" applyAlignment="1">
      <alignment horizontal="left" vertical="center" wrapText="1"/>
    </xf>
    <xf numFmtId="0" fontId="15" fillId="11" borderId="3" xfId="0" applyFont="1" applyFill="1" applyBorder="1" applyAlignment="1">
      <alignment horizontal="center" vertical="center"/>
    </xf>
    <xf numFmtId="2" fontId="15" fillId="11" borderId="2" xfId="0" applyNumberFormat="1" applyFont="1" applyFill="1" applyBorder="1" applyAlignment="1">
      <alignment horizontal="left" vertical="center"/>
    </xf>
    <xf numFmtId="0" fontId="15" fillId="11" borderId="25" xfId="0" applyFont="1" applyFill="1" applyBorder="1" applyAlignment="1">
      <alignment horizontal="left" vertical="center" wrapText="1"/>
    </xf>
    <xf numFmtId="0" fontId="15" fillId="11" borderId="20" xfId="0" applyFont="1" applyFill="1" applyBorder="1" applyAlignment="1">
      <alignment horizontal="left" vertical="center" wrapText="1"/>
    </xf>
    <xf numFmtId="2" fontId="15" fillId="11" borderId="26" xfId="0" applyNumberFormat="1" applyFont="1" applyFill="1" applyBorder="1" applyAlignment="1">
      <alignment horizontal="center" vertical="center"/>
    </xf>
    <xf numFmtId="164" fontId="15" fillId="11" borderId="2" xfId="0" applyNumberFormat="1" applyFont="1" applyFill="1" applyBorder="1" applyAlignment="1">
      <alignment horizontal="left" vertical="center"/>
    </xf>
    <xf numFmtId="165" fontId="0" fillId="5" borderId="8" xfId="0" applyNumberFormat="1" applyFill="1" applyBorder="1" applyAlignment="1">
      <alignment horizontal="center" vertical="center"/>
    </xf>
    <xf numFmtId="1" fontId="15" fillId="11" borderId="2" xfId="0" applyNumberFormat="1" applyFont="1" applyFill="1" applyBorder="1" applyAlignment="1">
      <alignment horizontal="left" vertical="center"/>
    </xf>
    <xf numFmtId="165" fontId="15" fillId="11" borderId="16" xfId="0" applyNumberFormat="1" applyFont="1" applyFill="1" applyBorder="1" applyAlignment="1">
      <alignment horizontal="left" vertical="center"/>
    </xf>
    <xf numFmtId="0" fontId="5" fillId="3" borderId="0" xfId="0" applyFont="1" applyFill="1" applyAlignment="1">
      <alignment horizontal="center" vertical="center"/>
    </xf>
    <xf numFmtId="2" fontId="0" fillId="2" borderId="8" xfId="0" applyNumberFormat="1" applyFill="1" applyBorder="1" applyAlignment="1" applyProtection="1">
      <alignment horizontal="center" vertical="center"/>
      <protection locked="0"/>
    </xf>
    <xf numFmtId="0" fontId="0" fillId="9" borderId="27" xfId="0" applyFill="1" applyBorder="1" applyAlignment="1">
      <alignment horizontal="left" vertical="center"/>
    </xf>
    <xf numFmtId="0" fontId="0" fillId="9" borderId="16" xfId="0" applyFill="1" applyBorder="1" applyAlignment="1">
      <alignment horizontal="left" vertical="center" wrapText="1"/>
    </xf>
    <xf numFmtId="1" fontId="0" fillId="10" borderId="3" xfId="0" applyNumberFormat="1" applyFill="1" applyBorder="1" applyAlignment="1">
      <alignment horizontal="center" vertical="center"/>
    </xf>
    <xf numFmtId="164" fontId="0" fillId="10" borderId="9" xfId="0" applyNumberFormat="1"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left" vertical="center" wrapText="1"/>
    </xf>
    <xf numFmtId="0" fontId="15" fillId="11" borderId="6" xfId="0" applyFont="1" applyFill="1" applyBorder="1" applyAlignment="1">
      <alignment horizontal="left" vertical="center" wrapText="1"/>
    </xf>
    <xf numFmtId="0" fontId="15" fillId="11" borderId="16" xfId="0" applyFont="1" applyFill="1" applyBorder="1" applyAlignment="1">
      <alignment horizontal="left" vertical="center" wrapText="1"/>
    </xf>
    <xf numFmtId="0" fontId="15" fillId="11" borderId="2" xfId="0" applyFont="1" applyFill="1" applyBorder="1" applyAlignment="1">
      <alignment horizontal="left" vertical="center" wrapText="1"/>
    </xf>
    <xf numFmtId="9" fontId="15" fillId="11" borderId="16" xfId="0" applyNumberFormat="1" applyFont="1" applyFill="1" applyBorder="1" applyAlignment="1">
      <alignment horizontal="left" vertical="center"/>
    </xf>
    <xf numFmtId="9" fontId="15" fillId="11" borderId="2" xfId="0" applyNumberFormat="1" applyFont="1" applyFill="1" applyBorder="1" applyAlignment="1">
      <alignment horizontal="left" vertical="center"/>
    </xf>
    <xf numFmtId="1" fontId="0" fillId="5" borderId="8" xfId="0" applyNumberFormat="1" applyFill="1" applyBorder="1" applyAlignment="1">
      <alignment horizontal="center" vertical="center"/>
    </xf>
    <xf numFmtId="0" fontId="15" fillId="11" borderId="26" xfId="0" applyFont="1" applyFill="1" applyBorder="1" applyAlignment="1">
      <alignment horizontal="center" vertical="center"/>
    </xf>
    <xf numFmtId="2" fontId="0" fillId="6" borderId="3" xfId="0" applyNumberFormat="1" applyFill="1" applyBorder="1" applyAlignment="1">
      <alignment horizontal="center" vertical="center"/>
    </xf>
    <xf numFmtId="164" fontId="15" fillId="11" borderId="15" xfId="0" applyNumberFormat="1" applyFont="1" applyFill="1" applyBorder="1" applyAlignment="1">
      <alignment horizontal="center" vertical="center"/>
    </xf>
    <xf numFmtId="9" fontId="15" fillId="11" borderId="16" xfId="0" applyNumberFormat="1" applyFont="1" applyFill="1" applyBorder="1" applyAlignment="1">
      <alignment horizontal="left" vertical="center" wrapText="1"/>
    </xf>
    <xf numFmtId="1" fontId="0" fillId="11" borderId="3" xfId="0" applyNumberFormat="1" applyFill="1" applyBorder="1" applyAlignment="1">
      <alignment horizontal="center" vertical="center"/>
    </xf>
    <xf numFmtId="1" fontId="15" fillId="11" borderId="3" xfId="0" applyNumberFormat="1" applyFont="1" applyFill="1" applyBorder="1" applyAlignment="1">
      <alignment horizontal="center" vertical="center"/>
    </xf>
    <xf numFmtId="164" fontId="15" fillId="11" borderId="19" xfId="0" applyNumberFormat="1" applyFont="1" applyFill="1" applyBorder="1" applyAlignment="1">
      <alignment horizontal="center" vertical="center"/>
    </xf>
    <xf numFmtId="9" fontId="15" fillId="11" borderId="24" xfId="0" applyNumberFormat="1" applyFont="1" applyFill="1" applyBorder="1" applyAlignment="1">
      <alignment horizontal="left" vertical="center" wrapText="1"/>
    </xf>
    <xf numFmtId="0" fontId="15" fillId="11" borderId="2" xfId="0" applyFont="1" applyFill="1" applyBorder="1" applyAlignment="1">
      <alignment vertical="center"/>
    </xf>
    <xf numFmtId="2" fontId="0" fillId="5" borderId="15" xfId="0" applyNumberFormat="1" applyFill="1" applyBorder="1" applyAlignment="1">
      <alignment horizontal="center" vertical="center"/>
    </xf>
    <xf numFmtId="9" fontId="15" fillId="11" borderId="2" xfId="0" applyNumberFormat="1" applyFont="1" applyFill="1" applyBorder="1" applyAlignment="1">
      <alignment horizontal="left" vertical="center" wrapText="1"/>
    </xf>
    <xf numFmtId="2" fontId="15" fillId="11" borderId="2" xfId="0" applyNumberFormat="1" applyFont="1" applyFill="1" applyBorder="1" applyAlignment="1">
      <alignment horizontal="left" vertical="center" wrapText="1"/>
    </xf>
    <xf numFmtId="43" fontId="15" fillId="11" borderId="19" xfId="0" applyNumberFormat="1" applyFont="1" applyFill="1" applyBorder="1" applyAlignment="1">
      <alignment horizontal="center" vertical="center"/>
    </xf>
    <xf numFmtId="165" fontId="0" fillId="6" borderId="15" xfId="0" applyNumberFormat="1" applyFill="1" applyBorder="1" applyAlignment="1">
      <alignment horizontal="right" vertical="center"/>
    </xf>
    <xf numFmtId="166" fontId="0" fillId="5" borderId="15" xfId="0" applyNumberFormat="1" applyFill="1" applyBorder="1" applyAlignment="1">
      <alignment horizontal="right" vertical="center"/>
    </xf>
    <xf numFmtId="0" fontId="0" fillId="11" borderId="2" xfId="0" applyFill="1" applyBorder="1" applyAlignment="1">
      <alignment horizontal="left" vertical="center" wrapText="1"/>
    </xf>
    <xf numFmtId="43" fontId="15" fillId="11" borderId="3" xfId="0" applyNumberFormat="1" applyFont="1" applyFill="1" applyBorder="1" applyAlignment="1">
      <alignment horizontal="center" vertical="center"/>
    </xf>
    <xf numFmtId="0" fontId="0" fillId="2" borderId="24" xfId="0" applyFill="1" applyBorder="1" applyAlignment="1">
      <alignment horizontal="left" vertical="top" wrapText="1"/>
    </xf>
    <xf numFmtId="2" fontId="0" fillId="6" borderId="26" xfId="0" applyNumberFormat="1" applyFill="1" applyBorder="1" applyAlignment="1" applyProtection="1">
      <alignment horizontal="center" vertical="center"/>
      <protection locked="0"/>
    </xf>
    <xf numFmtId="0" fontId="0" fillId="2" borderId="21" xfId="0" applyFill="1" applyBorder="1" applyAlignment="1">
      <alignment horizontal="left" vertical="center"/>
    </xf>
    <xf numFmtId="0" fontId="15" fillId="11" borderId="21" xfId="0" applyFont="1" applyFill="1" applyBorder="1" applyAlignment="1">
      <alignment horizontal="left" vertical="top"/>
    </xf>
    <xf numFmtId="2" fontId="15" fillId="11" borderId="26" xfId="0" applyNumberFormat="1" applyFont="1" applyFill="1" applyBorder="1" applyAlignment="1" applyProtection="1">
      <alignment horizontal="center" vertical="center"/>
      <protection locked="0"/>
    </xf>
    <xf numFmtId="2" fontId="15" fillId="11" borderId="24" xfId="0" applyNumberFormat="1" applyFont="1" applyFill="1" applyBorder="1" applyAlignment="1">
      <alignment horizontal="left" vertical="top"/>
    </xf>
    <xf numFmtId="0" fontId="15" fillId="11" borderId="2" xfId="0" applyFont="1" applyFill="1" applyBorder="1" applyAlignment="1">
      <alignment horizontal="left" vertical="center" wrapText="1"/>
    </xf>
    <xf numFmtId="0" fontId="5" fillId="8" borderId="0" xfId="0" applyFont="1" applyFill="1" applyAlignment="1">
      <alignment vertical="center"/>
    </xf>
    <xf numFmtId="0" fontId="5" fillId="3" borderId="0" xfId="0" quotePrefix="1" applyFont="1" applyFill="1" applyAlignment="1">
      <alignment horizontal="center" vertical="center"/>
    </xf>
    <xf numFmtId="0" fontId="16" fillId="2" borderId="0" xfId="0" applyFont="1" applyFill="1" applyAlignment="1">
      <alignment horizontal="center" vertical="center"/>
    </xf>
    <xf numFmtId="0" fontId="16" fillId="12" borderId="0" xfId="0" applyFont="1" applyFill="1" applyAlignment="1">
      <alignment vertical="center"/>
    </xf>
    <xf numFmtId="0" fontId="0" fillId="2" borderId="0" xfId="0" applyFill="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center" vertical="center"/>
    </xf>
    <xf numFmtId="0" fontId="0" fillId="11" borderId="6" xfId="0" applyFill="1" applyBorder="1" applyAlignment="1">
      <alignment horizontal="center" vertical="center"/>
    </xf>
    <xf numFmtId="0" fontId="0" fillId="11" borderId="2" xfId="0" applyFill="1" applyBorder="1" applyAlignment="1">
      <alignment vertical="top"/>
    </xf>
    <xf numFmtId="0" fontId="0" fillId="2" borderId="6" xfId="0" applyFill="1" applyBorder="1" applyAlignment="1">
      <alignment horizontal="center" vertical="center"/>
    </xf>
    <xf numFmtId="2" fontId="0" fillId="5" borderId="26" xfId="0" applyNumberFormat="1" applyFill="1" applyBorder="1" applyAlignment="1">
      <alignment horizontal="center" vertical="center"/>
    </xf>
    <xf numFmtId="0" fontId="17" fillId="2" borderId="7" xfId="0" applyFont="1" applyFill="1" applyBorder="1" applyAlignment="1">
      <alignment vertical="center" wrapText="1"/>
    </xf>
    <xf numFmtId="2" fontId="0" fillId="2" borderId="19" xfId="0" applyNumberFormat="1" applyFill="1" applyBorder="1" applyAlignment="1" applyProtection="1">
      <alignment horizontal="center" vertical="center"/>
      <protection locked="0"/>
    </xf>
    <xf numFmtId="2" fontId="0" fillId="5" borderId="28" xfId="0" applyNumberFormat="1" applyFill="1" applyBorder="1" applyAlignment="1">
      <alignment horizontal="center" vertical="center"/>
    </xf>
    <xf numFmtId="2" fontId="0" fillId="11" borderId="15" xfId="0" applyNumberFormat="1" applyFill="1" applyBorder="1" applyAlignment="1">
      <alignment horizontal="center" vertical="center"/>
    </xf>
    <xf numFmtId="2" fontId="0" fillId="2" borderId="7" xfId="0" applyNumberFormat="1" applyFill="1" applyBorder="1" applyAlignment="1" applyProtection="1">
      <alignment horizontal="center" vertical="center"/>
      <protection locked="0"/>
    </xf>
    <xf numFmtId="2" fontId="0" fillId="5" borderId="26" xfId="0" applyNumberFormat="1" applyFill="1" applyBorder="1" applyAlignment="1">
      <alignment horizontal="center" vertical="center"/>
    </xf>
    <xf numFmtId="164" fontId="0" fillId="6" borderId="15" xfId="0" applyNumberFormat="1" applyFill="1" applyBorder="1" applyAlignment="1">
      <alignment horizontal="center" vertical="center"/>
    </xf>
    <xf numFmtId="2" fontId="0" fillId="11" borderId="1" xfId="0" applyNumberFormat="1" applyFill="1" applyBorder="1" applyAlignment="1" applyProtection="1">
      <alignment horizontal="center" vertical="center"/>
      <protection locked="0"/>
    </xf>
    <xf numFmtId="164" fontId="0" fillId="11" borderId="15" xfId="0" applyNumberFormat="1" applyFill="1" applyBorder="1" applyAlignment="1">
      <alignment horizontal="center" vertical="center"/>
    </xf>
    <xf numFmtId="2" fontId="0" fillId="5" borderId="3" xfId="0" applyNumberFormat="1" applyFill="1" applyBorder="1" applyAlignment="1">
      <alignment horizontal="center" vertical="center"/>
    </xf>
    <xf numFmtId="2" fontId="0" fillId="5" borderId="4" xfId="0" applyNumberFormat="1" applyFill="1" applyBorder="1" applyAlignment="1">
      <alignment horizontal="center" vertical="center"/>
    </xf>
    <xf numFmtId="2" fontId="15" fillId="11" borderId="19" xfId="0" applyNumberFormat="1" applyFont="1" applyFill="1" applyBorder="1" applyAlignment="1">
      <alignment horizontal="center" vertical="center"/>
    </xf>
    <xf numFmtId="2" fontId="0" fillId="11" borderId="1" xfId="0" applyNumberFormat="1" applyFill="1" applyBorder="1" applyAlignment="1" applyProtection="1">
      <alignment horizontal="center" vertical="center"/>
      <protection locked="0"/>
    </xf>
    <xf numFmtId="1" fontId="0" fillId="11" borderId="15" xfId="0" applyNumberFormat="1" applyFill="1" applyBorder="1" applyAlignment="1">
      <alignment horizontal="center" vertical="center"/>
    </xf>
    <xf numFmtId="0" fontId="15" fillId="11" borderId="6" xfId="0" applyFont="1" applyFill="1" applyBorder="1" applyAlignment="1">
      <alignment horizontal="right" vertical="center" wrapText="1"/>
    </xf>
    <xf numFmtId="9" fontId="15" fillId="11" borderId="16" xfId="0" applyNumberFormat="1" applyFont="1" applyFill="1" applyBorder="1" applyAlignment="1">
      <alignment horizontal="left" vertical="center" wrapText="1"/>
    </xf>
    <xf numFmtId="0" fontId="0" fillId="2" borderId="1" xfId="0" applyFill="1" applyBorder="1" applyAlignment="1">
      <alignment horizontal="center" vertical="center"/>
    </xf>
    <xf numFmtId="0" fontId="0" fillId="2" borderId="6" xfId="0" applyFill="1" applyBorder="1" applyAlignment="1">
      <alignment horizontal="left" vertical="top"/>
    </xf>
    <xf numFmtId="0" fontId="0" fillId="2" borderId="16" xfId="0" applyFill="1" applyBorder="1" applyAlignment="1">
      <alignment horizontal="left" vertical="top"/>
    </xf>
    <xf numFmtId="0" fontId="0" fillId="11" borderId="21" xfId="0" applyFill="1" applyBorder="1" applyAlignment="1">
      <alignment horizontal="left" vertical="center" wrapText="1"/>
    </xf>
    <xf numFmtId="0" fontId="0" fillId="11" borderId="24" xfId="0" applyFill="1" applyBorder="1" applyAlignment="1">
      <alignment horizontal="left" vertical="center" wrapText="1"/>
    </xf>
    <xf numFmtId="9" fontId="15" fillId="11" borderId="2" xfId="0" applyNumberFormat="1" applyFont="1" applyFill="1" applyBorder="1" applyAlignment="1">
      <alignment horizontal="left" vertical="center"/>
    </xf>
    <xf numFmtId="1" fontId="15" fillId="11" borderId="19" xfId="0" applyNumberFormat="1" applyFont="1" applyFill="1" applyBorder="1" applyAlignment="1">
      <alignment horizontal="center" vertical="center"/>
    </xf>
    <xf numFmtId="1" fontId="0" fillId="11" borderId="19" xfId="0" applyNumberFormat="1" applyFill="1" applyBorder="1" applyAlignment="1">
      <alignment horizontal="center" vertical="center"/>
    </xf>
    <xf numFmtId="2" fontId="0" fillId="11" borderId="4" xfId="0" applyNumberFormat="1" applyFill="1" applyBorder="1" applyAlignment="1">
      <alignment horizontal="center" vertical="center"/>
    </xf>
    <xf numFmtId="0" fontId="0" fillId="8" borderId="6" xfId="0" applyFill="1" applyBorder="1" applyAlignment="1">
      <alignment horizontal="center" vertical="center" wrapText="1"/>
    </xf>
    <xf numFmtId="0" fontId="0" fillId="8" borderId="2" xfId="0" applyFill="1" applyBorder="1" applyAlignment="1">
      <alignment vertical="top" wrapText="1"/>
    </xf>
    <xf numFmtId="1" fontId="0" fillId="8" borderId="7" xfId="0" applyNumberFormat="1" applyFill="1" applyBorder="1" applyAlignment="1" applyProtection="1">
      <alignment horizontal="center" vertical="center"/>
      <protection locked="0"/>
    </xf>
    <xf numFmtId="0" fontId="0" fillId="4" borderId="29" xfId="0" applyFill="1" applyBorder="1" applyAlignment="1" applyProtection="1">
      <alignment horizontal="left" vertical="top" wrapText="1"/>
      <protection locked="0"/>
    </xf>
    <xf numFmtId="0" fontId="15" fillId="11" borderId="2" xfId="0" applyFont="1" applyFill="1" applyBorder="1" applyAlignment="1">
      <alignment horizontal="left" vertical="center" wrapText="1"/>
    </xf>
    <xf numFmtId="1" fontId="15" fillId="11" borderId="2" xfId="0" applyNumberFormat="1" applyFont="1" applyFill="1" applyBorder="1" applyAlignment="1">
      <alignment horizontal="left" vertical="center"/>
    </xf>
    <xf numFmtId="2" fontId="0" fillId="11" borderId="3" xfId="0" applyNumberFormat="1" applyFill="1" applyBorder="1" applyAlignment="1">
      <alignment horizontal="center" vertical="center"/>
    </xf>
    <xf numFmtId="2" fontId="0" fillId="5" borderId="30" xfId="0" applyNumberFormat="1" applyFill="1" applyBorder="1" applyAlignment="1">
      <alignment horizontal="center" vertical="center"/>
    </xf>
    <xf numFmtId="0" fontId="0" fillId="2" borderId="0" xfId="0" applyFill="1" applyAlignment="1">
      <alignment horizontal="left" vertical="center"/>
    </xf>
    <xf numFmtId="0" fontId="0" fillId="2" borderId="0" xfId="0" applyFill="1" applyAlignment="1" applyProtection="1">
      <alignment vertical="top" wrapText="1"/>
      <protection locked="0"/>
    </xf>
    <xf numFmtId="0" fontId="18" fillId="2" borderId="2" xfId="0" applyFont="1" applyFill="1" applyBorder="1" applyAlignment="1">
      <alignment horizontal="left" vertical="top" wrapText="1"/>
    </xf>
    <xf numFmtId="0" fontId="19" fillId="2" borderId="2" xfId="0" applyFont="1" applyFill="1" applyBorder="1" applyAlignment="1">
      <alignment vertical="top" wrapText="1"/>
    </xf>
    <xf numFmtId="0" fontId="19"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2" xfId="0" applyFont="1" applyFill="1" applyBorder="1" applyAlignment="1">
      <alignment vertical="top" wrapText="1"/>
    </xf>
    <xf numFmtId="0" fontId="19" fillId="5" borderId="2" xfId="0" applyFont="1" applyFill="1" applyBorder="1" applyAlignment="1">
      <alignment horizontal="left" vertical="top" wrapText="1"/>
    </xf>
    <xf numFmtId="0" fontId="18" fillId="8" borderId="2" xfId="0" applyFont="1" applyFill="1" applyBorder="1" applyAlignment="1">
      <alignment horizontal="left" vertical="top" wrapText="1"/>
    </xf>
    <xf numFmtId="0" fontId="18" fillId="8" borderId="2" xfId="0" applyFont="1" applyFill="1" applyBorder="1" applyAlignment="1">
      <alignment horizontal="left" vertical="top" wrapText="1"/>
    </xf>
    <xf numFmtId="0" fontId="0" fillId="2" borderId="0" xfId="0" applyFill="1"/>
    <xf numFmtId="0" fontId="17" fillId="2" borderId="0" xfId="0" applyFont="1" applyFill="1" applyAlignment="1">
      <alignment vertical="center"/>
    </xf>
    <xf numFmtId="0" fontId="17" fillId="2" borderId="0" xfId="0" applyFont="1" applyFill="1" applyAlignment="1">
      <alignment horizontal="center" vertical="center"/>
    </xf>
    <xf numFmtId="0" fontId="0" fillId="2" borderId="0" xfId="0" applyFill="1" applyAlignment="1">
      <alignment wrapText="1"/>
    </xf>
    <xf numFmtId="0" fontId="0" fillId="2" borderId="0" xfId="0" applyFill="1" applyAlignment="1">
      <alignment horizontal="left" vertical="center"/>
    </xf>
    <xf numFmtId="0" fontId="0" fillId="2" borderId="0" xfId="0" applyFill="1" applyAlignment="1">
      <alignment horizontal="center"/>
    </xf>
    <xf numFmtId="0" fontId="0" fillId="2" borderId="0" xfId="0" applyFill="1" applyAlignment="1" applyProtection="1">
      <alignment wrapText="1"/>
      <protection locked="0"/>
    </xf>
    <xf numFmtId="0" fontId="0" fillId="2" borderId="0" xfId="0" applyFill="1" applyAlignment="1" applyProtection="1">
      <alignment horizontal="center" vertical="center"/>
      <protection locked="0"/>
    </xf>
    <xf numFmtId="0" fontId="0" fillId="2" borderId="0" xfId="0" applyFill="1" applyAlignment="1">
      <alignment vertical="top"/>
    </xf>
    <xf numFmtId="0" fontId="0" fillId="2" borderId="0" xfId="0" applyFill="1" applyAlignment="1" applyProtection="1">
      <alignment vertical="top"/>
      <protection locked="0"/>
    </xf>
    <xf numFmtId="0" fontId="0" fillId="2" borderId="0" xfId="0" applyFill="1" applyAlignment="1">
      <alignment vertical="center"/>
    </xf>
    <xf numFmtId="167" fontId="0" fillId="2" borderId="0" xfId="0" applyNumberFormat="1" applyFill="1" applyAlignment="1" applyProtection="1">
      <alignment horizontal="left" vertical="top" wrapText="1"/>
      <protection locked="0"/>
    </xf>
    <xf numFmtId="0" fontId="0" fillId="2" borderId="0" xfId="0" applyFill="1" applyAlignment="1" applyProtection="1">
      <alignment horizontal="center"/>
      <protection locked="0"/>
    </xf>
    <xf numFmtId="0" fontId="20" fillId="13" borderId="2" xfId="0" applyFont="1" applyFill="1" applyBorder="1" applyAlignment="1">
      <alignment horizontal="center" vertical="center" wrapText="1"/>
    </xf>
    <xf numFmtId="0" fontId="21" fillId="2" borderId="0" xfId="0" applyFont="1" applyFill="1"/>
    <xf numFmtId="0" fontId="19" fillId="2" borderId="2" xfId="0" applyFont="1" applyFill="1" applyBorder="1" applyAlignment="1">
      <alignment horizontal="center" vertical="top"/>
    </xf>
    <xf numFmtId="0" fontId="19" fillId="2" borderId="2" xfId="0" applyFont="1" applyFill="1" applyBorder="1" applyAlignment="1">
      <alignment horizontal="left" vertical="top"/>
    </xf>
    <xf numFmtId="2" fontId="19" fillId="2" borderId="2" xfId="0" applyNumberFormat="1" applyFont="1" applyFill="1" applyBorder="1" applyAlignment="1">
      <alignment horizontal="center" vertical="top"/>
    </xf>
    <xf numFmtId="2" fontId="19" fillId="2" borderId="0" xfId="0" applyNumberFormat="1" applyFont="1" applyFill="1"/>
    <xf numFmtId="2" fontId="19" fillId="2" borderId="2" xfId="0" applyNumberFormat="1" applyFont="1" applyFill="1" applyBorder="1" applyAlignment="1">
      <alignment horizontal="center" vertical="top"/>
    </xf>
    <xf numFmtId="0" fontId="19" fillId="2" borderId="0" xfId="0" applyFont="1" applyFill="1"/>
    <xf numFmtId="0" fontId="19" fillId="2" borderId="2" xfId="0" applyFont="1" applyFill="1" applyBorder="1" applyAlignment="1">
      <alignment horizontal="center" vertical="top"/>
    </xf>
    <xf numFmtId="0" fontId="19" fillId="2" borderId="2" xfId="0" applyFont="1" applyFill="1" applyBorder="1" applyAlignment="1">
      <alignment horizontal="left" vertical="top"/>
    </xf>
    <xf numFmtId="2" fontId="19" fillId="2" borderId="2" xfId="0" applyNumberFormat="1" applyFont="1" applyFill="1" applyBorder="1" applyAlignment="1">
      <alignment horizontal="center" vertical="top"/>
    </xf>
    <xf numFmtId="0" fontId="19" fillId="2" borderId="2" xfId="0" applyFont="1" applyFill="1" applyBorder="1" applyAlignment="1">
      <alignment horizontal="left" vertical="top"/>
    </xf>
    <xf numFmtId="2" fontId="19" fillId="2" borderId="2" xfId="0" applyNumberFormat="1" applyFont="1" applyFill="1" applyBorder="1" applyAlignment="1" applyProtection="1">
      <alignment horizontal="center" vertical="top"/>
      <protection locked="0"/>
    </xf>
    <xf numFmtId="2" fontId="19" fillId="2" borderId="2" xfId="0" applyNumberFormat="1" applyFont="1" applyFill="1" applyBorder="1" applyAlignment="1" applyProtection="1">
      <alignment horizontal="center" vertical="top"/>
      <protection locked="0"/>
    </xf>
    <xf numFmtId="0" fontId="19" fillId="2" borderId="2" xfId="0" applyFont="1" applyFill="1" applyBorder="1" applyAlignment="1" applyProtection="1">
      <alignment horizontal="left" vertical="top"/>
      <protection locked="0"/>
    </xf>
    <xf numFmtId="0" fontId="19" fillId="2" borderId="2" xfId="0" applyFont="1" applyFill="1" applyBorder="1" applyAlignment="1" applyProtection="1">
      <alignment horizontal="left" vertical="top"/>
      <protection locked="0"/>
    </xf>
    <xf numFmtId="0" fontId="0" fillId="2" borderId="0" xfId="0" applyFill="1" applyAlignment="1">
      <alignment horizontal="center"/>
    </xf>
    <xf numFmtId="0" fontId="0" fillId="2" borderId="0" xfId="0" applyFill="1" applyAlignment="1">
      <alignment horizontal="left" vertical="top" wrapText="1"/>
    </xf>
    <xf numFmtId="0" fontId="0" fillId="2" borderId="0" xfId="0" applyFill="1" applyAlignment="1">
      <alignment horizontal="center" vertical="center"/>
    </xf>
    <xf numFmtId="0" fontId="0" fillId="2" borderId="0" xfId="0" applyFill="1" applyAlignment="1" applyProtection="1">
      <alignment horizontal="left" vertical="top" wrapText="1"/>
      <protection locked="0"/>
    </xf>
    <xf numFmtId="0" fontId="0" fillId="2" borderId="0" xfId="0" applyFill="1" applyAlignment="1" applyProtection="1">
      <alignment horizontal="center" vertical="top" wrapText="1"/>
      <protection locked="0"/>
    </xf>
    <xf numFmtId="0" fontId="0" fillId="2" borderId="0" xfId="0" applyFill="1" applyAlignment="1">
      <alignment horizontal="center" vertical="top" wrapText="1"/>
    </xf>
    <xf numFmtId="0" fontId="0" fillId="18" borderId="0" xfId="0" applyFill="1" applyAlignment="1">
      <alignment horizontal="left"/>
    </xf>
    <xf numFmtId="0" fontId="29" fillId="4" borderId="29" xfId="0" applyFont="1" applyFill="1" applyBorder="1" applyAlignment="1" applyProtection="1">
      <alignment horizontal="left" vertical="top" wrapText="1"/>
      <protection locked="0"/>
    </xf>
    <xf numFmtId="0" fontId="30" fillId="4" borderId="29" xfId="0" applyFont="1" applyFill="1" applyBorder="1" applyAlignment="1" applyProtection="1">
      <alignment horizontal="left" vertical="top" wrapText="1"/>
      <protection locked="0"/>
    </xf>
    <xf numFmtId="0" fontId="29" fillId="8" borderId="2" xfId="0" applyFont="1" applyFill="1" applyBorder="1" applyAlignment="1">
      <alignment vertical="top" wrapText="1"/>
    </xf>
    <xf numFmtId="0" fontId="31" fillId="7" borderId="14" xfId="0" applyFont="1" applyFill="1" applyBorder="1" applyAlignment="1">
      <alignment horizontal="center" vertical="center" wrapText="1"/>
    </xf>
    <xf numFmtId="0" fontId="5" fillId="3" borderId="0" xfId="0" applyFont="1" applyFill="1" applyAlignment="1">
      <alignment horizontal="center" vertical="center"/>
    </xf>
    <xf numFmtId="0" fontId="11" fillId="3" borderId="0" xfId="0" applyFont="1" applyFill="1" applyAlignment="1">
      <alignment horizontal="center" vertical="center"/>
    </xf>
    <xf numFmtId="0" fontId="5" fillId="8" borderId="0" xfId="0" applyFont="1" applyFill="1" applyAlignment="1">
      <alignment horizontal="left" vertical="center"/>
    </xf>
    <xf numFmtId="167" fontId="5" fillId="8" borderId="0" xfId="0" applyNumberFormat="1" applyFont="1" applyFill="1" applyAlignment="1">
      <alignment horizontal="left" vertical="center"/>
    </xf>
    <xf numFmtId="0" fontId="22" fillId="14" borderId="0" xfId="0" applyFont="1" applyFill="1" applyAlignment="1">
      <alignment horizontal="center" vertical="center"/>
    </xf>
    <xf numFmtId="0" fontId="22" fillId="15" borderId="0" xfId="0" applyFont="1" applyFill="1" applyAlignment="1">
      <alignment horizontal="center" vertical="center"/>
    </xf>
    <xf numFmtId="0" fontId="5" fillId="8" borderId="0" xfId="0" applyFont="1" applyFill="1" applyAlignment="1">
      <alignment horizontal="left" vertical="center" wrapText="1"/>
    </xf>
    <xf numFmtId="0" fontId="22" fillId="16" borderId="0" xfId="0" applyFont="1" applyFill="1" applyAlignment="1">
      <alignment horizontal="center" vertical="center"/>
    </xf>
    <xf numFmtId="0" fontId="0" fillId="2" borderId="31" xfId="0" applyFill="1" applyBorder="1" applyAlignment="1">
      <alignment horizontal="center" vertical="top"/>
    </xf>
    <xf numFmtId="0" fontId="0" fillId="2" borderId="32" xfId="0" applyFill="1" applyBorder="1" applyAlignment="1">
      <alignment horizontal="center" vertical="top"/>
    </xf>
    <xf numFmtId="0" fontId="0" fillId="2" borderId="33" xfId="0" applyFill="1" applyBorder="1" applyAlignment="1">
      <alignment horizontal="center" vertical="top"/>
    </xf>
    <xf numFmtId="0" fontId="0" fillId="2" borderId="40" xfId="0" applyFill="1" applyBorder="1" applyAlignment="1">
      <alignment horizontal="center" vertical="top" wrapText="1"/>
    </xf>
    <xf numFmtId="0" fontId="0" fillId="2" borderId="41" xfId="0" applyFill="1" applyBorder="1" applyAlignment="1">
      <alignment horizontal="center" vertical="top" wrapText="1"/>
    </xf>
    <xf numFmtId="0" fontId="0" fillId="2" borderId="42" xfId="0" applyFill="1" applyBorder="1" applyAlignment="1">
      <alignment horizontal="center" vertical="top" wrapText="1"/>
    </xf>
    <xf numFmtId="0" fontId="0" fillId="2" borderId="43" xfId="0" applyFill="1" applyBorder="1" applyAlignment="1">
      <alignment horizontal="left" vertical="center" wrapText="1"/>
    </xf>
    <xf numFmtId="0" fontId="0" fillId="2" borderId="6" xfId="0" applyFill="1" applyBorder="1" applyAlignment="1">
      <alignment horizontal="left" vertical="center" wrapText="1"/>
    </xf>
    <xf numFmtId="0" fontId="0" fillId="2" borderId="16" xfId="0" applyFill="1" applyBorder="1" applyAlignment="1">
      <alignment horizontal="left" vertical="center" wrapText="1"/>
    </xf>
    <xf numFmtId="0" fontId="17" fillId="2" borderId="40" xfId="0" applyFont="1" applyFill="1" applyBorder="1" applyAlignment="1">
      <alignment horizontal="center" vertical="top" wrapText="1"/>
    </xf>
    <xf numFmtId="0" fontId="17" fillId="2" borderId="41" xfId="0" applyFont="1" applyFill="1" applyBorder="1" applyAlignment="1">
      <alignment horizontal="center" vertical="top" wrapText="1"/>
    </xf>
    <xf numFmtId="0" fontId="17" fillId="2" borderId="42" xfId="0" applyFont="1" applyFill="1" applyBorder="1" applyAlignment="1">
      <alignment horizontal="center" vertical="top"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8" xfId="0" applyFill="1" applyBorder="1" applyAlignment="1">
      <alignment horizontal="left" vertical="center"/>
    </xf>
    <xf numFmtId="0" fontId="0" fillId="2" borderId="17" xfId="0" applyFill="1" applyBorder="1" applyAlignment="1">
      <alignment horizontal="left" vertical="center"/>
    </xf>
    <xf numFmtId="0" fontId="0" fillId="11" borderId="43" xfId="0" applyFill="1" applyBorder="1" applyAlignment="1">
      <alignment horizontal="left" vertical="center" wrapText="1"/>
    </xf>
    <xf numFmtId="0" fontId="0" fillId="11" borderId="6" xfId="0" applyFill="1" applyBorder="1" applyAlignment="1">
      <alignment horizontal="left" vertical="center" wrapText="1"/>
    </xf>
    <xf numFmtId="0" fontId="0" fillId="11" borderId="16" xfId="0" applyFill="1" applyBorder="1" applyAlignment="1">
      <alignment horizontal="left" vertical="center" wrapText="1"/>
    </xf>
    <xf numFmtId="0" fontId="0" fillId="2" borderId="49" xfId="0" applyFill="1" applyBorder="1" applyAlignment="1">
      <alignment horizontal="left" vertical="center" wrapText="1"/>
    </xf>
    <xf numFmtId="0" fontId="0" fillId="2" borderId="25" xfId="0" applyFill="1" applyBorder="1" applyAlignment="1">
      <alignment horizontal="left" vertical="center" wrapText="1"/>
    </xf>
    <xf numFmtId="0" fontId="0" fillId="2" borderId="50" xfId="0" applyFill="1" applyBorder="1" applyAlignment="1">
      <alignment horizontal="left" vertical="center" wrapText="1"/>
    </xf>
    <xf numFmtId="0" fontId="0" fillId="2" borderId="48" xfId="0" applyFill="1" applyBorder="1" applyAlignment="1">
      <alignment horizontal="left" vertical="center"/>
    </xf>
    <xf numFmtId="0" fontId="0" fillId="2" borderId="40" xfId="0" applyFill="1" applyBorder="1" applyAlignment="1">
      <alignment horizontal="center" vertical="top"/>
    </xf>
    <xf numFmtId="0" fontId="0" fillId="2" borderId="41" xfId="0" applyFill="1" applyBorder="1" applyAlignment="1">
      <alignment horizontal="center" vertical="top"/>
    </xf>
    <xf numFmtId="0" fontId="0" fillId="2" borderId="42" xfId="0" applyFill="1" applyBorder="1" applyAlignment="1">
      <alignment horizontal="center" vertical="top"/>
    </xf>
    <xf numFmtId="0" fontId="0" fillId="2" borderId="38" xfId="0" applyFill="1" applyBorder="1" applyAlignment="1">
      <alignment horizontal="left" vertical="center" wrapText="1"/>
    </xf>
    <xf numFmtId="0" fontId="0" fillId="2" borderId="17" xfId="0" applyFill="1" applyBorder="1" applyAlignment="1">
      <alignment horizontal="left" vertical="center" wrapText="1"/>
    </xf>
    <xf numFmtId="0" fontId="0" fillId="8" borderId="6" xfId="0" applyFill="1" applyBorder="1" applyAlignment="1">
      <alignment horizontal="left" vertical="center" wrapText="1"/>
    </xf>
    <xf numFmtId="0" fontId="0" fillId="8" borderId="50" xfId="0" applyFill="1" applyBorder="1" applyAlignment="1">
      <alignment horizontal="left" vertical="center" wrapText="1"/>
    </xf>
    <xf numFmtId="0" fontId="0" fillId="8" borderId="22" xfId="0" applyFill="1" applyBorder="1" applyAlignment="1">
      <alignment horizontal="left" vertical="center" wrapText="1"/>
    </xf>
    <xf numFmtId="0" fontId="0" fillId="8" borderId="44" xfId="0" applyFill="1" applyBorder="1" applyAlignment="1">
      <alignment horizontal="left" vertical="center" wrapText="1"/>
    </xf>
    <xf numFmtId="0" fontId="0" fillId="11" borderId="40" xfId="0" applyFill="1" applyBorder="1" applyAlignment="1">
      <alignment horizontal="center" vertical="top" wrapText="1"/>
    </xf>
    <xf numFmtId="0" fontId="0" fillId="11" borderId="41" xfId="0" applyFill="1" applyBorder="1" applyAlignment="1">
      <alignment horizontal="center" vertical="top" wrapText="1"/>
    </xf>
    <xf numFmtId="0" fontId="0" fillId="11" borderId="42" xfId="0" applyFill="1" applyBorder="1" applyAlignment="1">
      <alignment horizontal="center" vertical="top" wrapText="1"/>
    </xf>
    <xf numFmtId="0" fontId="0" fillId="11" borderId="31" xfId="0" applyFill="1" applyBorder="1" applyAlignment="1">
      <alignment horizontal="center" vertical="top"/>
    </xf>
    <xf numFmtId="0" fontId="0" fillId="11" borderId="32" xfId="0" applyFill="1" applyBorder="1" applyAlignment="1">
      <alignment horizontal="center" vertical="top"/>
    </xf>
    <xf numFmtId="0" fontId="0" fillId="11" borderId="33" xfId="0" applyFill="1" applyBorder="1" applyAlignment="1">
      <alignment horizontal="center" vertical="top"/>
    </xf>
    <xf numFmtId="0" fontId="0" fillId="11" borderId="38" xfId="0" applyFill="1" applyBorder="1" applyAlignment="1">
      <alignment horizontal="left" vertical="center" wrapText="1"/>
    </xf>
    <xf numFmtId="0" fontId="0" fillId="11" borderId="17" xfId="0" applyFill="1" applyBorder="1" applyAlignment="1">
      <alignment horizontal="left" vertical="center" wrapText="1"/>
    </xf>
    <xf numFmtId="0" fontId="15" fillId="11" borderId="2" xfId="0" applyFont="1" applyFill="1" applyBorder="1" applyAlignment="1">
      <alignment horizontal="left" vertical="center" wrapText="1"/>
    </xf>
    <xf numFmtId="0" fontId="0" fillId="2" borderId="36" xfId="0" applyFill="1" applyBorder="1" applyAlignment="1">
      <alignment horizontal="left" vertical="center" wrapText="1"/>
    </xf>
    <xf numFmtId="0" fontId="0" fillId="2" borderId="37" xfId="0"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0" fillId="2" borderId="39" xfId="0" applyFill="1" applyBorder="1" applyAlignment="1">
      <alignment horizontal="left" vertical="center" wrapText="1"/>
    </xf>
    <xf numFmtId="0" fontId="0" fillId="2" borderId="9" xfId="0" applyFill="1" applyBorder="1" applyAlignment="1">
      <alignment horizontal="left" vertical="center" wrapText="1"/>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0" fillId="2" borderId="2" xfId="0"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7" fillId="2" borderId="51" xfId="0" applyFont="1" applyFill="1" applyBorder="1" applyAlignment="1">
      <alignment horizontal="left" vertical="center" wrapText="1"/>
    </xf>
    <xf numFmtId="0" fontId="0" fillId="2" borderId="45" xfId="0" applyFill="1" applyBorder="1" applyAlignment="1">
      <alignment horizontal="left" vertical="center" wrapText="1"/>
    </xf>
    <xf numFmtId="0" fontId="0" fillId="2" borderId="52" xfId="0" applyFill="1" applyBorder="1" applyAlignment="1">
      <alignment horizontal="left" vertical="center"/>
    </xf>
    <xf numFmtId="0" fontId="0" fillId="2" borderId="42" xfId="0" applyFill="1" applyBorder="1" applyAlignment="1">
      <alignment horizontal="left" vertical="center"/>
    </xf>
    <xf numFmtId="0" fontId="0" fillId="2" borderId="2" xfId="0" applyFill="1" applyBorder="1" applyAlignment="1">
      <alignment horizontal="left"/>
    </xf>
    <xf numFmtId="0" fontId="0" fillId="2" borderId="6" xfId="0" applyFill="1" applyBorder="1" applyAlignment="1">
      <alignment horizontal="left"/>
    </xf>
    <xf numFmtId="0" fontId="0" fillId="2" borderId="16" xfId="0" applyFill="1" applyBorder="1" applyAlignment="1">
      <alignment horizontal="left"/>
    </xf>
    <xf numFmtId="0" fontId="0" fillId="2" borderId="53" xfId="0" applyFill="1" applyBorder="1" applyAlignment="1">
      <alignment horizontal="left" vertical="center" wrapText="1"/>
    </xf>
    <xf numFmtId="0" fontId="0" fillId="2" borderId="48" xfId="0" applyFill="1" applyBorder="1" applyAlignment="1">
      <alignment horizontal="left" vertical="center" wrapText="1"/>
    </xf>
    <xf numFmtId="0" fontId="16" fillId="14" borderId="0" xfId="0" applyFont="1" applyFill="1" applyAlignment="1">
      <alignment horizontal="center" vertical="center"/>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1" fontId="0" fillId="2" borderId="26" xfId="0" applyNumberFormat="1" applyFill="1" applyBorder="1" applyAlignment="1" applyProtection="1">
      <alignment horizontal="center" vertical="center"/>
      <protection locked="0"/>
    </xf>
    <xf numFmtId="1" fontId="0" fillId="2" borderId="8" xfId="0" applyNumberFormat="1" applyFill="1" applyBorder="1" applyAlignment="1" applyProtection="1">
      <alignment horizontal="center" vertical="center"/>
      <protection locked="0"/>
    </xf>
    <xf numFmtId="0" fontId="0" fillId="2" borderId="22" xfId="0" applyFill="1" applyBorder="1" applyAlignment="1">
      <alignment horizontal="left" vertical="center" wrapText="1"/>
    </xf>
    <xf numFmtId="0" fontId="0" fillId="2" borderId="44" xfId="0" applyFill="1" applyBorder="1" applyAlignment="1">
      <alignment horizontal="left" vertical="center" wrapText="1"/>
    </xf>
    <xf numFmtId="0" fontId="0" fillId="2" borderId="21" xfId="0" applyFill="1" applyBorder="1" applyAlignment="1">
      <alignment horizontal="center" vertical="center" textRotation="90"/>
    </xf>
    <xf numFmtId="0" fontId="0" fillId="2" borderId="46" xfId="0" applyFill="1" applyBorder="1" applyAlignment="1">
      <alignment horizontal="center" vertical="center" textRotation="90"/>
    </xf>
    <xf numFmtId="0" fontId="0" fillId="2" borderId="25" xfId="0" applyFill="1" applyBorder="1" applyAlignment="1">
      <alignment horizontal="center" vertical="center" textRotation="90"/>
    </xf>
    <xf numFmtId="0" fontId="0" fillId="2" borderId="6" xfId="0" applyFill="1" applyBorder="1" applyAlignment="1">
      <alignment horizontal="left" vertical="top" wrapText="1"/>
    </xf>
    <xf numFmtId="0" fontId="0" fillId="2" borderId="16" xfId="0" applyFill="1" applyBorder="1" applyAlignment="1">
      <alignment horizontal="left" vertical="top" wrapText="1"/>
    </xf>
    <xf numFmtId="0" fontId="0" fillId="9" borderId="27" xfId="0" applyFill="1" applyBorder="1" applyAlignment="1">
      <alignment horizontal="left" vertical="center" wrapText="1"/>
    </xf>
    <xf numFmtId="0" fontId="0" fillId="9" borderId="16" xfId="0" applyFill="1" applyBorder="1" applyAlignment="1">
      <alignment horizontal="left" vertical="center" wrapText="1"/>
    </xf>
    <xf numFmtId="0" fontId="0" fillId="2" borderId="6" xfId="0" applyFill="1" applyBorder="1" applyAlignment="1">
      <alignment horizontal="right" vertical="center" wrapText="1"/>
    </xf>
    <xf numFmtId="0" fontId="0" fillId="2" borderId="16" xfId="0" applyFill="1" applyBorder="1" applyAlignment="1">
      <alignment horizontal="right"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11" borderId="50" xfId="0" applyFill="1" applyBorder="1" applyAlignment="1">
      <alignment horizontal="left" vertical="center" wrapText="1"/>
    </xf>
    <xf numFmtId="0" fontId="0" fillId="2" borderId="45" xfId="0" applyFill="1" applyBorder="1" applyAlignment="1">
      <alignment horizontal="center" vertical="top" wrapText="1"/>
    </xf>
    <xf numFmtId="0" fontId="0" fillId="2" borderId="46" xfId="0" applyFill="1" applyBorder="1" applyAlignment="1">
      <alignment horizontal="center" vertical="top" wrapText="1"/>
    </xf>
    <xf numFmtId="0" fontId="0" fillId="2" borderId="53" xfId="0" applyFill="1" applyBorder="1" applyAlignment="1">
      <alignment horizontal="center" vertical="top" wrapText="1"/>
    </xf>
    <xf numFmtId="0" fontId="17" fillId="9" borderId="47" xfId="0" applyFont="1" applyFill="1" applyBorder="1" applyAlignment="1">
      <alignment horizontal="left" vertical="center" wrapText="1"/>
    </xf>
    <xf numFmtId="0" fontId="17" fillId="9" borderId="43" xfId="0" applyFont="1" applyFill="1" applyBorder="1" applyAlignment="1">
      <alignment horizontal="left" vertical="center" wrapText="1"/>
    </xf>
    <xf numFmtId="0" fontId="19" fillId="2" borderId="22" xfId="0" applyFont="1" applyFill="1" applyBorder="1" applyAlignment="1">
      <alignment horizontal="center" vertical="center" textRotation="90" wrapText="1"/>
    </xf>
    <xf numFmtId="0" fontId="19" fillId="2" borderId="41" xfId="0" applyFont="1" applyFill="1" applyBorder="1" applyAlignment="1">
      <alignment horizontal="center" vertical="center" textRotation="90" wrapText="1"/>
    </xf>
    <xf numFmtId="0" fontId="19" fillId="2" borderId="44" xfId="0" applyFont="1" applyFill="1" applyBorder="1" applyAlignment="1">
      <alignment horizontal="center" vertical="center" textRotation="90" wrapText="1"/>
    </xf>
    <xf numFmtId="0" fontId="0" fillId="2" borderId="21" xfId="0" applyFill="1" applyBorder="1" applyAlignment="1">
      <alignment horizontal="center" vertical="center" textRotation="90" wrapText="1"/>
    </xf>
    <xf numFmtId="0" fontId="0" fillId="2" borderId="46" xfId="0" applyFill="1" applyBorder="1" applyAlignment="1">
      <alignment horizontal="center" vertical="center" textRotation="90" wrapText="1"/>
    </xf>
    <xf numFmtId="0" fontId="0" fillId="2" borderId="25" xfId="0" applyFill="1" applyBorder="1" applyAlignment="1">
      <alignment horizontal="center" vertical="center" textRotation="90" wrapText="1"/>
    </xf>
    <xf numFmtId="1" fontId="0" fillId="8" borderId="26" xfId="0" applyNumberForma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0" fillId="2" borderId="52" xfId="0" applyFill="1" applyBorder="1" applyAlignment="1">
      <alignment horizontal="left" vertical="center" wrapText="1"/>
    </xf>
    <xf numFmtId="0" fontId="15" fillId="11" borderId="43" xfId="0" applyFont="1" applyFill="1" applyBorder="1" applyAlignment="1">
      <alignment horizontal="left" vertical="center" wrapText="1"/>
    </xf>
    <xf numFmtId="0" fontId="15" fillId="11" borderId="6" xfId="0" applyFont="1" applyFill="1" applyBorder="1" applyAlignment="1">
      <alignment horizontal="left" vertical="center" wrapText="1"/>
    </xf>
    <xf numFmtId="0" fontId="15" fillId="11" borderId="16" xfId="0" applyFont="1" applyFill="1" applyBorder="1" applyAlignment="1">
      <alignment horizontal="left" vertical="center" wrapText="1"/>
    </xf>
    <xf numFmtId="0" fontId="15" fillId="11" borderId="38" xfId="0" applyFont="1" applyFill="1" applyBorder="1" applyAlignment="1">
      <alignment horizontal="left" vertical="center" wrapText="1"/>
    </xf>
    <xf numFmtId="0" fontId="15" fillId="11" borderId="17" xfId="0" applyFont="1" applyFill="1" applyBorder="1" applyAlignment="1">
      <alignment horizontal="left" vertical="center" wrapText="1"/>
    </xf>
    <xf numFmtId="0" fontId="0" fillId="2" borderId="0" xfId="0" applyFill="1" applyAlignment="1">
      <alignment horizontal="center" vertical="center"/>
    </xf>
    <xf numFmtId="0" fontId="20" fillId="13" borderId="6" xfId="0" applyFont="1" applyFill="1" applyBorder="1" applyAlignment="1">
      <alignment horizontal="center" vertical="center" wrapText="1"/>
    </xf>
    <xf numFmtId="0" fontId="20" fillId="13" borderId="51"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3" fillId="2" borderId="0" xfId="0" applyFont="1" applyFill="1" applyAlignment="1">
      <alignment horizontal="center"/>
    </xf>
    <xf numFmtId="0" fontId="0" fillId="2" borderId="0" xfId="0" applyFill="1" applyAlignment="1">
      <alignment horizontal="left" vertical="center"/>
    </xf>
    <xf numFmtId="0" fontId="17" fillId="2" borderId="0" xfId="0" applyFont="1" applyFill="1" applyAlignment="1">
      <alignment horizontal="center" vertical="center"/>
    </xf>
    <xf numFmtId="2" fontId="10" fillId="17" borderId="0" xfId="0" applyNumberFormat="1" applyFont="1" applyFill="1" applyAlignment="1">
      <alignment horizontal="center" vertical="center"/>
    </xf>
  </cellXfs>
  <cellStyles count="1">
    <cellStyle name="Normal" xfId="0" builtinId="0"/>
  </cellStyles>
  <dxfs count="91">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sz val="10"/>
        <color rgb="FFFFFFFF"/>
        <name val="Calibri"/>
      </font>
      <numFmt numFmtId="0" formatCode="General"/>
      <fill>
        <patternFill patternType="solid">
          <fgColor rgb="FF000000"/>
          <bgColor rgb="FF00B050"/>
        </patternFill>
      </fill>
    </dxf>
    <dxf>
      <font>
        <b/>
        <i val="0"/>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00B050"/>
        </patternFill>
      </fill>
    </dxf>
    <dxf>
      <font>
        <b/>
        <i val="0"/>
        <sz val="10"/>
        <color rgb="FFFFFFFF"/>
        <name val="Calibri"/>
      </font>
      <numFmt numFmtId="0" formatCode="General"/>
      <fill>
        <patternFill patternType="solid">
          <fgColor rgb="FF000000"/>
          <bgColor rgb="FFFF0000"/>
        </patternFill>
      </fill>
    </dxf>
    <dxf>
      <font>
        <b/>
        <i val="0"/>
        <sz val="10"/>
        <color rgb="FF00B050"/>
        <name val="Calibri"/>
      </font>
      <numFmt numFmtId="0" formatCode="General"/>
    </dxf>
    <dxf>
      <font>
        <b/>
        <i val="0"/>
        <sz val="10"/>
        <color rgb="FFFF0000"/>
        <name val="Calibri"/>
      </font>
      <numFmt numFmtId="0" formatCode="Genera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00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zoomScale="70" zoomScaleNormal="70" workbookViewId="0">
      <selection activeCell="AD15" sqref="AD15"/>
    </sheetView>
  </sheetViews>
  <sheetFormatPr defaultColWidth="8.5703125" defaultRowHeight="15" customHeight="1" x14ac:dyDescent="0.25"/>
  <cols>
    <col min="1" max="1" width="3.5703125" style="8" customWidth="1"/>
    <col min="2" max="8" width="8.5703125" style="8"/>
    <col min="9" max="9" width="3.85546875" style="8" customWidth="1"/>
    <col min="10" max="21" width="8.5703125" style="8"/>
    <col min="22" max="22" width="2.5703125" style="8" customWidth="1"/>
    <col min="23" max="23" width="8.5703125" style="8"/>
  </cols>
  <sheetData>
    <row r="1" spans="1:27" ht="15" customHeight="1" x14ac:dyDescent="0.25">
      <c r="A1" s="6"/>
      <c r="B1" s="6"/>
      <c r="C1" s="6"/>
      <c r="D1" s="7"/>
      <c r="E1" s="7"/>
      <c r="F1" s="7"/>
      <c r="G1" s="7"/>
      <c r="H1" s="11"/>
      <c r="I1" s="11"/>
      <c r="J1" s="11"/>
      <c r="K1" s="11"/>
      <c r="L1" s="7"/>
      <c r="M1" s="7"/>
      <c r="N1" s="7"/>
      <c r="O1" s="7"/>
      <c r="P1" s="7"/>
      <c r="Q1" s="7"/>
      <c r="R1" s="7"/>
      <c r="S1" s="7"/>
      <c r="T1" s="7"/>
      <c r="U1" s="7"/>
      <c r="V1" s="7"/>
      <c r="AA1" s="262" t="s">
        <v>0</v>
      </c>
    </row>
    <row r="2" spans="1:27" ht="27" customHeight="1" x14ac:dyDescent="0.25">
      <c r="A2" s="271" t="s">
        <v>1</v>
      </c>
      <c r="B2" s="271"/>
      <c r="C2" s="271"/>
      <c r="D2" s="271"/>
      <c r="E2" s="271"/>
      <c r="F2" s="271"/>
      <c r="G2" s="271"/>
      <c r="H2" s="271"/>
      <c r="I2" s="271"/>
      <c r="J2" s="271"/>
      <c r="K2" s="271"/>
      <c r="L2" s="271"/>
      <c r="M2" s="271"/>
      <c r="N2" s="271"/>
      <c r="O2" s="271"/>
      <c r="P2" s="271"/>
      <c r="Q2" s="271"/>
      <c r="R2" s="271"/>
      <c r="S2" s="271"/>
      <c r="T2" s="271"/>
      <c r="U2" s="271"/>
      <c r="V2" s="271"/>
    </row>
    <row r="3" spans="1:27" ht="27" customHeight="1" x14ac:dyDescent="0.25">
      <c r="A3" s="272" t="s">
        <v>2</v>
      </c>
      <c r="B3" s="272"/>
      <c r="C3" s="272"/>
      <c r="D3" s="272"/>
      <c r="E3" s="272"/>
      <c r="F3" s="272"/>
      <c r="G3" s="272"/>
      <c r="H3" s="272"/>
      <c r="I3" s="272"/>
      <c r="J3" s="272"/>
      <c r="K3" s="272"/>
      <c r="L3" s="272"/>
      <c r="M3" s="272"/>
      <c r="N3" s="272"/>
      <c r="O3" s="272"/>
      <c r="P3" s="272"/>
      <c r="Q3" s="272"/>
      <c r="R3" s="272"/>
      <c r="S3" s="272"/>
      <c r="T3" s="272"/>
      <c r="U3" s="272"/>
      <c r="V3" s="272"/>
    </row>
    <row r="4" spans="1:27" ht="15" customHeight="1" x14ac:dyDescent="0.25">
      <c r="A4" s="7"/>
      <c r="B4" s="7"/>
      <c r="C4" s="7"/>
      <c r="D4" s="7"/>
      <c r="E4" s="7"/>
      <c r="F4" s="7"/>
      <c r="G4" s="9"/>
      <c r="H4" s="9"/>
      <c r="I4" s="9"/>
      <c r="J4" s="9"/>
      <c r="K4" s="9"/>
      <c r="L4" s="9"/>
      <c r="M4" s="9"/>
      <c r="N4" s="9"/>
      <c r="O4" s="9"/>
      <c r="P4" s="9"/>
      <c r="Q4" s="7"/>
      <c r="R4" s="7"/>
      <c r="S4" s="7"/>
      <c r="T4" s="7"/>
      <c r="U4" s="7"/>
      <c r="V4" s="7"/>
    </row>
    <row r="5" spans="1:27" ht="26.45" customHeight="1" x14ac:dyDescent="0.25">
      <c r="A5" s="274" t="s">
        <v>3</v>
      </c>
      <c r="B5" s="274"/>
      <c r="C5" s="274"/>
      <c r="D5" s="274"/>
      <c r="E5" s="274"/>
      <c r="F5" s="274"/>
      <c r="G5" s="274"/>
      <c r="H5" s="274"/>
      <c r="I5" s="274"/>
      <c r="J5" s="274"/>
      <c r="K5" s="274"/>
      <c r="L5" s="274"/>
      <c r="M5" s="274"/>
      <c r="N5" s="274"/>
      <c r="O5" s="274"/>
      <c r="P5" s="274"/>
      <c r="Q5" s="274"/>
      <c r="R5" s="274"/>
      <c r="S5" s="274"/>
      <c r="T5" s="274"/>
      <c r="U5" s="274"/>
      <c r="V5" s="274"/>
    </row>
    <row r="6" spans="1:27" ht="15" customHeight="1" x14ac:dyDescent="0.25">
      <c r="A6" s="7"/>
      <c r="B6" s="7"/>
      <c r="C6" s="7"/>
      <c r="D6" s="7"/>
      <c r="E6" s="7"/>
      <c r="F6" s="7"/>
      <c r="G6" s="9"/>
      <c r="H6" s="9"/>
      <c r="I6" s="9"/>
      <c r="J6" s="9"/>
      <c r="K6" s="9"/>
      <c r="L6" s="9"/>
      <c r="M6" s="9"/>
      <c r="N6" s="9"/>
      <c r="O6" s="9"/>
      <c r="P6" s="9"/>
      <c r="Q6" s="7"/>
      <c r="R6" s="7"/>
      <c r="S6" s="7"/>
      <c r="T6" s="7"/>
      <c r="U6" s="7"/>
      <c r="V6" s="7"/>
    </row>
    <row r="7" spans="1:27" s="12" customFormat="1" ht="24" customHeight="1" x14ac:dyDescent="0.25">
      <c r="A7" s="7"/>
      <c r="B7" s="14"/>
      <c r="C7" s="17" t="s">
        <v>4</v>
      </c>
      <c r="D7" s="15"/>
      <c r="E7" s="14"/>
      <c r="F7" s="15"/>
      <c r="G7" s="15" t="s">
        <v>5</v>
      </c>
      <c r="H7" s="273"/>
      <c r="I7" s="273"/>
      <c r="J7" s="273"/>
      <c r="K7" s="273"/>
      <c r="L7" s="273"/>
      <c r="M7" s="273"/>
      <c r="N7" s="273"/>
      <c r="O7" s="273"/>
      <c r="P7" s="273"/>
      <c r="Q7" s="273"/>
      <c r="R7" s="273"/>
      <c r="S7" s="273"/>
      <c r="T7" s="273"/>
      <c r="U7" s="273"/>
      <c r="V7" s="14"/>
    </row>
    <row r="8" spans="1:27" s="12" customFormat="1" ht="5.85" customHeight="1" x14ac:dyDescent="0.25">
      <c r="A8" s="7"/>
      <c r="B8" s="14"/>
      <c r="C8" s="14"/>
      <c r="D8" s="15"/>
      <c r="E8" s="14"/>
      <c r="F8" s="15"/>
      <c r="G8" s="15"/>
      <c r="H8" s="15"/>
      <c r="I8" s="15"/>
      <c r="J8" s="15"/>
      <c r="K8" s="15"/>
      <c r="L8" s="15"/>
      <c r="M8" s="15"/>
      <c r="N8" s="15"/>
      <c r="O8" s="15"/>
      <c r="P8" s="15"/>
      <c r="Q8" s="15"/>
      <c r="R8" s="15"/>
      <c r="S8" s="15"/>
      <c r="T8" s="15"/>
      <c r="U8" s="15"/>
      <c r="V8" s="14"/>
    </row>
    <row r="9" spans="1:27" s="12" customFormat="1" ht="24" customHeight="1" x14ac:dyDescent="0.25">
      <c r="A9" s="7"/>
      <c r="B9" s="14"/>
      <c r="C9" s="17" t="s">
        <v>6</v>
      </c>
      <c r="D9" s="15"/>
      <c r="E9" s="14"/>
      <c r="F9" s="15"/>
      <c r="G9" s="15" t="s">
        <v>5</v>
      </c>
      <c r="H9" s="269"/>
      <c r="I9" s="269"/>
      <c r="J9" s="269"/>
      <c r="K9" s="269"/>
      <c r="L9" s="269"/>
      <c r="M9" s="269"/>
      <c r="N9" s="269"/>
      <c r="O9" s="269"/>
      <c r="P9" s="269"/>
      <c r="Q9" s="269"/>
      <c r="R9" s="269"/>
      <c r="S9" s="14"/>
      <c r="T9" s="14"/>
      <c r="U9" s="14"/>
      <c r="V9" s="14"/>
    </row>
    <row r="10" spans="1:27" s="12" customFormat="1" ht="5.85" customHeight="1" x14ac:dyDescent="0.25">
      <c r="A10" s="7"/>
      <c r="B10" s="14"/>
      <c r="C10" s="14"/>
      <c r="D10" s="15"/>
      <c r="E10" s="14"/>
      <c r="F10" s="15"/>
      <c r="G10" s="15"/>
      <c r="H10" s="15"/>
      <c r="I10" s="15"/>
      <c r="J10" s="15"/>
      <c r="K10" s="15"/>
      <c r="L10" s="15"/>
      <c r="M10" s="15"/>
      <c r="N10" s="15"/>
      <c r="O10" s="15"/>
      <c r="P10" s="15"/>
      <c r="Q10" s="15"/>
      <c r="R10" s="15"/>
      <c r="S10" s="15"/>
      <c r="T10" s="15"/>
      <c r="U10" s="15"/>
      <c r="V10" s="14"/>
    </row>
    <row r="11" spans="1:27" s="12" customFormat="1" ht="24" customHeight="1" x14ac:dyDescent="0.25">
      <c r="A11" s="7"/>
      <c r="B11" s="14"/>
      <c r="C11" s="17" t="s">
        <v>7</v>
      </c>
      <c r="D11" s="15"/>
      <c r="E11" s="14"/>
      <c r="F11" s="15"/>
      <c r="G11" s="15" t="s">
        <v>5</v>
      </c>
      <c r="H11" s="269"/>
      <c r="I11" s="269"/>
      <c r="J11" s="269"/>
      <c r="K11" s="269"/>
      <c r="L11" s="269"/>
      <c r="M11" s="269"/>
      <c r="N11" s="269"/>
      <c r="O11" s="269"/>
      <c r="P11" s="269"/>
      <c r="Q11" s="269"/>
      <c r="R11" s="269"/>
      <c r="S11" s="14"/>
      <c r="T11" s="14"/>
      <c r="U11" s="14"/>
      <c r="V11" s="14"/>
    </row>
    <row r="12" spans="1:27" s="12" customFormat="1" ht="5.85" customHeight="1" x14ac:dyDescent="0.25">
      <c r="A12" s="7"/>
      <c r="B12" s="14"/>
      <c r="C12" s="14"/>
      <c r="D12" s="15"/>
      <c r="E12" s="14"/>
      <c r="F12" s="15"/>
      <c r="G12" s="15"/>
      <c r="H12" s="15"/>
      <c r="I12" s="15"/>
      <c r="J12" s="15"/>
      <c r="K12" s="15"/>
      <c r="L12" s="15"/>
      <c r="M12" s="15"/>
      <c r="N12" s="15"/>
      <c r="O12" s="15"/>
      <c r="P12" s="15"/>
      <c r="Q12" s="15"/>
      <c r="R12" s="15"/>
      <c r="S12" s="15"/>
      <c r="T12" s="15"/>
      <c r="U12" s="15"/>
      <c r="V12" s="14"/>
    </row>
    <row r="13" spans="1:27" s="12" customFormat="1" ht="24" customHeight="1" x14ac:dyDescent="0.25">
      <c r="A13" s="7"/>
      <c r="B13" s="14"/>
      <c r="C13" s="17" t="s">
        <v>8</v>
      </c>
      <c r="D13" s="15"/>
      <c r="E13" s="14"/>
      <c r="F13" s="15"/>
      <c r="G13" s="15" t="s">
        <v>5</v>
      </c>
      <c r="H13" s="173"/>
      <c r="I13" s="173"/>
      <c r="J13" s="173"/>
      <c r="K13" s="16"/>
      <c r="L13" s="16"/>
      <c r="M13" s="16"/>
      <c r="N13" s="16"/>
      <c r="O13" s="16"/>
      <c r="P13" s="16"/>
      <c r="Q13" s="16"/>
      <c r="R13" s="14"/>
      <c r="S13" s="14"/>
      <c r="T13" s="14"/>
      <c r="U13" s="14"/>
      <c r="V13" s="14"/>
    </row>
    <row r="14" spans="1:27" ht="5.85" customHeight="1" x14ac:dyDescent="0.25">
      <c r="A14" s="7"/>
      <c r="B14" s="7"/>
      <c r="C14" s="7"/>
      <c r="D14" s="13"/>
      <c r="E14" s="7"/>
      <c r="F14" s="7"/>
      <c r="G14" s="7"/>
      <c r="H14" s="7"/>
      <c r="I14" s="7"/>
      <c r="J14" s="7"/>
      <c r="K14" s="7"/>
      <c r="L14" s="10"/>
      <c r="M14" s="10"/>
      <c r="N14" s="10"/>
      <c r="O14" s="10"/>
      <c r="P14" s="10"/>
      <c r="Q14" s="10"/>
      <c r="R14" s="7"/>
      <c r="S14" s="7"/>
      <c r="T14" s="7"/>
      <c r="U14" s="7"/>
      <c r="V14" s="7"/>
    </row>
    <row r="15" spans="1:27" s="12" customFormat="1" ht="24" customHeight="1" x14ac:dyDescent="0.25">
      <c r="A15" s="7"/>
      <c r="B15" s="14"/>
      <c r="C15" s="17" t="s">
        <v>9</v>
      </c>
      <c r="D15" s="15"/>
      <c r="E15" s="14"/>
      <c r="F15" s="15"/>
      <c r="G15" s="15" t="s">
        <v>5</v>
      </c>
      <c r="H15" s="82">
        <v>2017</v>
      </c>
      <c r="I15" s="174" t="s">
        <v>10</v>
      </c>
      <c r="J15" s="82">
        <v>2018</v>
      </c>
      <c r="K15" s="16"/>
      <c r="L15" s="16"/>
      <c r="M15" s="10"/>
      <c r="N15" s="16"/>
      <c r="O15" s="16"/>
      <c r="P15" s="16"/>
      <c r="Q15" s="16"/>
      <c r="R15" s="14"/>
      <c r="S15" s="14"/>
      <c r="T15" s="14"/>
      <c r="U15" s="14"/>
      <c r="V15" s="14"/>
    </row>
    <row r="16" spans="1:27" ht="24" customHeight="1" x14ac:dyDescent="0.25">
      <c r="A16" s="7"/>
      <c r="B16" s="7"/>
      <c r="C16" s="81" t="s">
        <v>11</v>
      </c>
      <c r="D16" s="7"/>
      <c r="E16" s="7"/>
      <c r="F16" s="7"/>
      <c r="G16" s="7"/>
      <c r="H16" s="7"/>
      <c r="I16" s="7"/>
      <c r="J16" s="7"/>
      <c r="K16" s="7"/>
      <c r="L16" s="10"/>
      <c r="M16" s="10"/>
      <c r="N16" s="10"/>
      <c r="O16" s="10"/>
      <c r="P16" s="10"/>
      <c r="Q16" s="10"/>
      <c r="R16" s="7"/>
      <c r="S16" s="7"/>
      <c r="T16" s="7"/>
      <c r="U16" s="7"/>
      <c r="V16" s="7"/>
    </row>
    <row r="17" spans="1:22" s="12" customFormat="1" ht="24" customHeight="1" x14ac:dyDescent="0.25">
      <c r="A17" s="7"/>
      <c r="B17" s="7"/>
      <c r="C17" s="80"/>
      <c r="D17" s="13"/>
      <c r="E17" s="7"/>
      <c r="F17" s="7"/>
      <c r="G17" s="7"/>
      <c r="H17" s="7"/>
      <c r="I17" s="7"/>
      <c r="J17" s="7"/>
      <c r="K17" s="7"/>
      <c r="L17" s="268" t="s">
        <v>12</v>
      </c>
      <c r="M17" s="268"/>
      <c r="N17" s="268"/>
      <c r="O17" s="268"/>
      <c r="P17" s="268"/>
      <c r="Q17" s="268"/>
      <c r="R17" s="268"/>
      <c r="S17" s="268"/>
      <c r="T17" s="268"/>
      <c r="U17" s="268"/>
      <c r="V17" s="79"/>
    </row>
    <row r="18" spans="1:22" s="12" customFormat="1" ht="24" customHeight="1" x14ac:dyDescent="0.25">
      <c r="A18" s="7"/>
      <c r="B18" s="7"/>
      <c r="C18" s="7"/>
      <c r="D18" s="13"/>
      <c r="E18" s="7"/>
      <c r="F18" s="7"/>
      <c r="G18" s="7"/>
      <c r="H18" s="7"/>
      <c r="I18" s="7"/>
      <c r="J18" s="7"/>
      <c r="K18" s="7"/>
      <c r="L18" s="267" t="s">
        <v>13</v>
      </c>
      <c r="M18" s="267"/>
      <c r="N18" s="267"/>
      <c r="O18" s="267"/>
      <c r="P18" s="267"/>
      <c r="Q18" s="267"/>
      <c r="R18" s="267"/>
      <c r="S18" s="267"/>
      <c r="T18" s="267"/>
      <c r="U18" s="267"/>
      <c r="V18" s="135"/>
    </row>
    <row r="19" spans="1:22" ht="24" customHeight="1" x14ac:dyDescent="0.25">
      <c r="A19" s="7"/>
      <c r="B19" s="7"/>
      <c r="C19" s="7"/>
      <c r="D19" s="13"/>
      <c r="E19" s="7"/>
      <c r="F19" s="7"/>
      <c r="G19" s="7"/>
      <c r="H19" s="7"/>
      <c r="I19" s="7"/>
      <c r="J19" s="7"/>
      <c r="K19" s="7"/>
      <c r="L19" s="7"/>
      <c r="M19" s="7"/>
      <c r="N19" s="7"/>
      <c r="O19" s="7"/>
      <c r="P19" s="7"/>
      <c r="Q19" s="7"/>
      <c r="R19" s="7"/>
      <c r="S19" s="7"/>
      <c r="T19" s="7"/>
      <c r="U19" s="7"/>
      <c r="V19" s="7"/>
    </row>
    <row r="20" spans="1:22" s="12" customFormat="1" ht="24" customHeight="1" x14ac:dyDescent="0.25">
      <c r="A20" s="7"/>
      <c r="B20" s="7"/>
      <c r="C20" s="7"/>
      <c r="D20" s="13"/>
      <c r="E20" s="7"/>
      <c r="F20" s="7"/>
      <c r="G20" s="7"/>
      <c r="H20" s="7"/>
      <c r="I20" s="7"/>
      <c r="J20" s="7"/>
      <c r="K20" s="7"/>
      <c r="L20" s="17" t="s">
        <v>14</v>
      </c>
      <c r="M20" s="15"/>
      <c r="N20" s="14"/>
      <c r="O20" s="15" t="s">
        <v>5</v>
      </c>
      <c r="P20" s="269"/>
      <c r="Q20" s="269"/>
      <c r="R20" s="269"/>
      <c r="S20" s="269"/>
      <c r="T20" s="269"/>
      <c r="U20" s="269"/>
      <c r="V20" s="14"/>
    </row>
    <row r="21" spans="1:22" s="12" customFormat="1" ht="4.5" customHeight="1" x14ac:dyDescent="0.25">
      <c r="A21" s="7"/>
      <c r="B21" s="7"/>
      <c r="C21" s="7"/>
      <c r="D21" s="13"/>
      <c r="E21" s="7"/>
      <c r="F21" s="7"/>
      <c r="G21" s="7"/>
      <c r="H21" s="7"/>
      <c r="I21" s="7"/>
      <c r="J21" s="7"/>
      <c r="K21" s="7"/>
      <c r="L21" s="14"/>
      <c r="M21" s="15"/>
      <c r="N21" s="14"/>
      <c r="O21" s="15"/>
      <c r="P21" s="15"/>
      <c r="Q21" s="15"/>
      <c r="R21" s="15"/>
      <c r="S21" s="15"/>
      <c r="T21" s="15"/>
      <c r="U21" s="7"/>
      <c r="V21" s="14"/>
    </row>
    <row r="22" spans="1:22" s="12" customFormat="1" ht="24" customHeight="1" x14ac:dyDescent="0.25">
      <c r="A22" s="7"/>
      <c r="B22" s="81"/>
      <c r="C22" s="7"/>
      <c r="D22" s="13"/>
      <c r="E22" s="7"/>
      <c r="F22" s="7"/>
      <c r="G22" s="7"/>
      <c r="H22" s="7"/>
      <c r="I22" s="7"/>
      <c r="J22" s="7"/>
      <c r="K22" s="7"/>
      <c r="L22" s="17" t="s">
        <v>15</v>
      </c>
      <c r="M22" s="15"/>
      <c r="N22" s="14"/>
      <c r="O22" s="15" t="s">
        <v>5</v>
      </c>
      <c r="P22" s="269"/>
      <c r="Q22" s="269"/>
      <c r="R22" s="269"/>
      <c r="S22" s="269"/>
      <c r="T22" s="7"/>
      <c r="U22" s="7"/>
      <c r="V22" s="14"/>
    </row>
    <row r="23" spans="1:22" ht="4.5" customHeight="1" x14ac:dyDescent="0.25">
      <c r="A23" s="7"/>
      <c r="B23" s="7"/>
      <c r="C23" s="7"/>
      <c r="D23" s="13"/>
      <c r="E23" s="7"/>
      <c r="F23" s="7"/>
      <c r="G23" s="7"/>
      <c r="H23" s="7"/>
      <c r="I23" s="7"/>
      <c r="J23" s="7"/>
      <c r="K23" s="7"/>
      <c r="L23" s="14"/>
      <c r="M23" s="15"/>
      <c r="N23" s="14"/>
      <c r="O23" s="15"/>
      <c r="P23" s="15"/>
      <c r="Q23" s="15"/>
      <c r="R23" s="15"/>
      <c r="S23" s="15"/>
      <c r="T23" s="7"/>
      <c r="U23" s="7"/>
      <c r="V23" s="7"/>
    </row>
    <row r="24" spans="1:22" ht="24" customHeight="1" x14ac:dyDescent="0.25">
      <c r="A24" s="7"/>
      <c r="B24" s="19" t="s">
        <v>16</v>
      </c>
      <c r="C24" s="20" t="s">
        <v>17</v>
      </c>
      <c r="D24" s="13"/>
      <c r="E24" s="7"/>
      <c r="F24" s="7"/>
      <c r="G24" s="7"/>
      <c r="H24" s="7"/>
      <c r="I24" s="7"/>
      <c r="J24" s="7"/>
      <c r="K24" s="7"/>
      <c r="L24" s="17" t="s">
        <v>18</v>
      </c>
      <c r="M24" s="15"/>
      <c r="N24" s="14"/>
      <c r="O24" s="15" t="s">
        <v>5</v>
      </c>
      <c r="P24" s="270"/>
      <c r="Q24" s="270"/>
      <c r="R24" s="270"/>
      <c r="S24" s="7"/>
      <c r="T24" s="7"/>
      <c r="U24" s="7"/>
      <c r="V24" s="7"/>
    </row>
    <row r="25" spans="1:22" ht="15" customHeight="1" x14ac:dyDescent="0.25">
      <c r="A25" s="7"/>
      <c r="B25" s="18"/>
      <c r="C25" s="7"/>
      <c r="D25" s="7"/>
      <c r="E25" s="7"/>
      <c r="F25" s="7"/>
      <c r="G25" s="7"/>
      <c r="H25" s="7"/>
      <c r="I25" s="7"/>
      <c r="J25" s="7"/>
      <c r="K25" s="7"/>
      <c r="L25" s="7"/>
      <c r="M25" s="7"/>
      <c r="N25" s="7"/>
      <c r="O25" s="7"/>
      <c r="P25" s="7"/>
      <c r="Q25" s="7"/>
      <c r="R25" s="7"/>
      <c r="S25" s="7"/>
      <c r="T25" s="7"/>
      <c r="U25" s="7"/>
      <c r="V25" s="7"/>
    </row>
  </sheetData>
  <sheetProtection formatCells="0" formatColumns="0" formatRows="0" insertColumns="0" insertRows="0" insertHyperlinks="0" deleteColumns="0" deleteRows="0" sort="0" autoFilter="0" pivotTables="0"/>
  <mergeCells count="11">
    <mergeCell ref="L18:U18"/>
    <mergeCell ref="L17:U17"/>
    <mergeCell ref="P22:S22"/>
    <mergeCell ref="P24:R24"/>
    <mergeCell ref="A2:V2"/>
    <mergeCell ref="A3:V3"/>
    <mergeCell ref="P20:U20"/>
    <mergeCell ref="H7:U7"/>
    <mergeCell ref="A5:V5"/>
    <mergeCell ref="H9:R9"/>
    <mergeCell ref="H11:R11"/>
  </mergeCells>
  <dataValidations count="4">
    <dataValidation type="list" allowBlank="1" showInputMessage="1" showErrorMessage="1" sqref="H10">
      <formula1>#REF!</formula1>
    </dataValidation>
    <dataValidation type="list" allowBlank="1" showInputMessage="1" showErrorMessage="1" sqref="I10">
      <formula1>#REF!</formula1>
    </dataValidation>
    <dataValidation type="list" allowBlank="1" showInputMessage="1" showErrorMessage="1" sqref="J10">
      <formula1>#REF!</formula1>
    </dataValidation>
    <dataValidation type="list" allowBlank="1" showInputMessage="1" showErrorMessage="1" sqref="K10">
      <formula1>#REF!</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8"/>
  <sheetViews>
    <sheetView zoomScale="90" zoomScaleNormal="90" workbookViewId="0">
      <pane xSplit="1" ySplit="6" topLeftCell="C929" activePane="bottomRight" state="frozen"/>
      <selection pane="topRight"/>
      <selection pane="bottomLeft"/>
      <selection pane="bottomRight" activeCell="K955" sqref="K955"/>
    </sheetView>
  </sheetViews>
  <sheetFormatPr defaultColWidth="9.140625" defaultRowHeight="15" x14ac:dyDescent="0.25"/>
  <cols>
    <col min="1" max="1" width="6.42578125" style="141" customWidth="1"/>
    <col min="2" max="2" width="12.42578125" style="141" customWidth="1"/>
    <col min="3" max="3" width="5.140625" style="8" customWidth="1"/>
    <col min="4" max="4" width="58.5703125" style="73" customWidth="1"/>
    <col min="5" max="5" width="15.5703125" style="8" customWidth="1"/>
    <col min="6" max="6" width="8.42578125" style="8" customWidth="1"/>
    <col min="7" max="7" width="4.5703125" style="8" customWidth="1"/>
    <col min="8" max="8" width="60.42578125" style="5" customWidth="1"/>
    <col min="9" max="9" width="9.140625" style="8"/>
  </cols>
  <sheetData>
    <row r="1" spans="1:8" ht="15.6" customHeight="1" x14ac:dyDescent="0.25">
      <c r="A1" s="336" t="s">
        <v>19</v>
      </c>
      <c r="B1" s="336"/>
      <c r="C1" s="336"/>
      <c r="D1" s="336"/>
      <c r="E1" s="336"/>
      <c r="F1" s="336"/>
      <c r="H1" s="8"/>
    </row>
    <row r="2" spans="1:8" ht="15.6" customHeight="1" x14ac:dyDescent="0.25">
      <c r="A2" s="336" t="s">
        <v>3</v>
      </c>
      <c r="B2" s="336"/>
      <c r="C2" s="336"/>
      <c r="D2" s="336"/>
      <c r="E2" s="336"/>
      <c r="F2" s="336"/>
      <c r="H2" s="8"/>
    </row>
    <row r="3" spans="1:8" s="115" customFormat="1" ht="15.6" customHeight="1" x14ac:dyDescent="0.25">
      <c r="A3" s="175"/>
      <c r="B3" s="175"/>
      <c r="C3" s="175"/>
      <c r="D3" s="175"/>
      <c r="E3" s="175"/>
      <c r="F3" s="175"/>
    </row>
    <row r="4" spans="1:8" ht="15.6" customHeight="1" x14ac:dyDescent="0.25">
      <c r="A4" s="176" t="s">
        <v>20</v>
      </c>
      <c r="B4" s="176"/>
      <c r="C4" s="176"/>
      <c r="D4" s="176"/>
      <c r="E4" s="176"/>
      <c r="F4" s="176"/>
      <c r="H4" s="8"/>
    </row>
    <row r="5" spans="1:8" ht="15" customHeight="1" x14ac:dyDescent="0.25">
      <c r="A5" s="177"/>
      <c r="B5" s="178"/>
      <c r="C5" s="178"/>
      <c r="D5" s="179"/>
      <c r="E5" s="178"/>
      <c r="F5" s="178"/>
      <c r="G5" s="178"/>
      <c r="H5" s="178"/>
    </row>
    <row r="6" spans="1:8" ht="33" customHeight="1" x14ac:dyDescent="0.25">
      <c r="A6" s="50" t="s">
        <v>21</v>
      </c>
      <c r="B6" s="51" t="s">
        <v>22</v>
      </c>
      <c r="C6" s="337" t="s">
        <v>23</v>
      </c>
      <c r="D6" s="338"/>
      <c r="E6" s="52" t="s">
        <v>24</v>
      </c>
      <c r="H6" s="266" t="s">
        <v>25</v>
      </c>
    </row>
    <row r="7" spans="1:8" ht="48" customHeight="1" x14ac:dyDescent="0.25">
      <c r="A7" s="275">
        <v>1</v>
      </c>
      <c r="B7" s="284" t="s">
        <v>26</v>
      </c>
      <c r="C7" s="287" t="s">
        <v>27</v>
      </c>
      <c r="D7" s="288"/>
      <c r="E7" s="21"/>
      <c r="F7" s="8" t="str">
        <f>IF(OR(ISBLANK(E7),E7&gt;4),"Salah isi","judge")</f>
        <v>Salah isi</v>
      </c>
      <c r="H7" s="212"/>
    </row>
    <row r="8" spans="1:8" ht="144.94999999999999" customHeight="1" x14ac:dyDescent="0.25">
      <c r="A8" s="276"/>
      <c r="B8" s="285"/>
      <c r="C8" s="22">
        <v>4</v>
      </c>
      <c r="D8" s="62" t="s">
        <v>28</v>
      </c>
      <c r="E8" s="23"/>
      <c r="H8" s="29"/>
    </row>
    <row r="9" spans="1:8" ht="116.1" customHeight="1" x14ac:dyDescent="0.25">
      <c r="A9" s="276"/>
      <c r="B9" s="285"/>
      <c r="C9" s="22">
        <v>3</v>
      </c>
      <c r="D9" s="62" t="s">
        <v>29</v>
      </c>
      <c r="E9" s="23"/>
      <c r="H9" s="29"/>
    </row>
    <row r="10" spans="1:8" ht="57.95" customHeight="1" x14ac:dyDescent="0.25">
      <c r="A10" s="276"/>
      <c r="B10" s="285"/>
      <c r="C10" s="22">
        <v>2</v>
      </c>
      <c r="D10" s="62" t="s">
        <v>30</v>
      </c>
      <c r="E10" s="23"/>
      <c r="H10" s="29"/>
    </row>
    <row r="11" spans="1:8" ht="57.95" customHeight="1" x14ac:dyDescent="0.25">
      <c r="A11" s="276"/>
      <c r="B11" s="285"/>
      <c r="C11" s="22">
        <v>1</v>
      </c>
      <c r="D11" s="62" t="s">
        <v>31</v>
      </c>
      <c r="E11" s="23"/>
      <c r="H11" s="29"/>
    </row>
    <row r="12" spans="1:8" ht="57.95" customHeight="1" x14ac:dyDescent="0.25">
      <c r="A12" s="276"/>
      <c r="B12" s="285"/>
      <c r="C12" s="22">
        <v>0</v>
      </c>
      <c r="D12" s="62" t="s">
        <v>32</v>
      </c>
      <c r="E12" s="24"/>
      <c r="H12" s="29"/>
    </row>
    <row r="13" spans="1:8" ht="15" customHeight="1" x14ac:dyDescent="0.25">
      <c r="A13" s="277"/>
      <c r="B13" s="286"/>
      <c r="C13" s="289" t="s">
        <v>33</v>
      </c>
      <c r="D13" s="290"/>
      <c r="E13" s="25">
        <f>IF(F7="Salah isi",0,E7)</f>
        <v>0</v>
      </c>
      <c r="H13" s="29"/>
    </row>
    <row r="14" spans="1:8" ht="15" customHeight="1" x14ac:dyDescent="0.25">
      <c r="A14" s="26"/>
      <c r="B14" s="26"/>
      <c r="C14" s="27"/>
      <c r="D14" s="63"/>
      <c r="E14" s="28"/>
      <c r="H14" s="29"/>
    </row>
    <row r="15" spans="1:8" ht="79.349999999999994" customHeight="1" x14ac:dyDescent="0.25">
      <c r="A15" s="275">
        <v>2</v>
      </c>
      <c r="B15" s="284" t="s">
        <v>34</v>
      </c>
      <c r="C15" s="287" t="s">
        <v>35</v>
      </c>
      <c r="D15" s="288"/>
      <c r="E15" s="21"/>
      <c r="F15" s="8" t="str">
        <f>IF(OR(ISBLANK(E15),E15&gt;4),"Salah isi","judge")</f>
        <v>Salah isi</v>
      </c>
      <c r="H15" s="212"/>
    </row>
    <row r="16" spans="1:8" ht="130.5" customHeight="1" x14ac:dyDescent="0.25">
      <c r="A16" s="276"/>
      <c r="B16" s="285"/>
      <c r="C16" s="22">
        <v>4</v>
      </c>
      <c r="D16" s="64" t="s">
        <v>36</v>
      </c>
      <c r="E16" s="23"/>
      <c r="H16" s="29"/>
    </row>
    <row r="17" spans="1:8" ht="116.1" customHeight="1" x14ac:dyDescent="0.25">
      <c r="A17" s="276"/>
      <c r="B17" s="285"/>
      <c r="C17" s="22">
        <v>3</v>
      </c>
      <c r="D17" s="65" t="s">
        <v>37</v>
      </c>
      <c r="E17" s="23"/>
      <c r="H17" s="29"/>
    </row>
    <row r="18" spans="1:8" ht="72.599999999999994" customHeight="1" x14ac:dyDescent="0.25">
      <c r="A18" s="276"/>
      <c r="B18" s="285"/>
      <c r="C18" s="22">
        <v>2</v>
      </c>
      <c r="D18" s="65" t="s">
        <v>38</v>
      </c>
      <c r="E18" s="23"/>
      <c r="H18" s="29"/>
    </row>
    <row r="19" spans="1:8" ht="87" customHeight="1" x14ac:dyDescent="0.25">
      <c r="A19" s="276"/>
      <c r="B19" s="285"/>
      <c r="C19" s="22">
        <v>1</v>
      </c>
      <c r="D19" s="65" t="s">
        <v>39</v>
      </c>
      <c r="E19" s="23"/>
      <c r="H19" s="29"/>
    </row>
    <row r="20" spans="1:8" ht="43.5" customHeight="1" x14ac:dyDescent="0.25">
      <c r="A20" s="276"/>
      <c r="B20" s="285"/>
      <c r="C20" s="22">
        <v>0</v>
      </c>
      <c r="D20" s="65" t="s">
        <v>40</v>
      </c>
      <c r="E20" s="24"/>
      <c r="H20" s="29"/>
    </row>
    <row r="21" spans="1:8" ht="15" customHeight="1" x14ac:dyDescent="0.25">
      <c r="A21" s="277"/>
      <c r="B21" s="286"/>
      <c r="C21" s="289" t="s">
        <v>33</v>
      </c>
      <c r="D21" s="290"/>
      <c r="E21" s="25">
        <f>IF(F15="Salah isi",0,E15)</f>
        <v>0</v>
      </c>
      <c r="H21" s="29"/>
    </row>
    <row r="22" spans="1:8" ht="15" customHeight="1" x14ac:dyDescent="0.25">
      <c r="A22" s="26"/>
      <c r="B22" s="26"/>
      <c r="C22" s="27"/>
      <c r="D22" s="63"/>
      <c r="E22" s="28"/>
      <c r="H22" s="29"/>
    </row>
    <row r="23" spans="1:8" ht="50.25" customHeight="1" x14ac:dyDescent="0.25">
      <c r="A23" s="275">
        <v>3</v>
      </c>
      <c r="B23" s="278" t="s">
        <v>41</v>
      </c>
      <c r="C23" s="287" t="s">
        <v>42</v>
      </c>
      <c r="D23" s="288"/>
      <c r="E23" s="21"/>
      <c r="F23" s="8" t="str">
        <f>IF(OR(ISBLANK(E23),E23&gt;4),"Salah isi","judge")</f>
        <v>Salah isi</v>
      </c>
      <c r="H23" s="212"/>
    </row>
    <row r="24" spans="1:8" ht="116.1" customHeight="1" x14ac:dyDescent="0.25">
      <c r="A24" s="276"/>
      <c r="B24" s="279"/>
      <c r="C24" s="22">
        <v>4</v>
      </c>
      <c r="D24" s="66" t="s">
        <v>43</v>
      </c>
      <c r="E24" s="23"/>
      <c r="H24" s="29"/>
    </row>
    <row r="25" spans="1:8" ht="87" customHeight="1" x14ac:dyDescent="0.25">
      <c r="A25" s="276"/>
      <c r="B25" s="279"/>
      <c r="C25" s="22">
        <v>3</v>
      </c>
      <c r="D25" s="61" t="s">
        <v>44</v>
      </c>
      <c r="E25" s="23"/>
      <c r="H25" s="29"/>
    </row>
    <row r="26" spans="1:8" ht="87" customHeight="1" x14ac:dyDescent="0.25">
      <c r="A26" s="276"/>
      <c r="B26" s="279"/>
      <c r="C26" s="22">
        <v>2</v>
      </c>
      <c r="D26" s="61" t="s">
        <v>45</v>
      </c>
      <c r="E26" s="23"/>
      <c r="H26" s="29"/>
    </row>
    <row r="27" spans="1:8" ht="87" customHeight="1" x14ac:dyDescent="0.25">
      <c r="A27" s="276"/>
      <c r="B27" s="279"/>
      <c r="C27" s="22">
        <v>1</v>
      </c>
      <c r="D27" s="61" t="s">
        <v>46</v>
      </c>
      <c r="E27" s="23"/>
      <c r="H27" s="29"/>
    </row>
    <row r="28" spans="1:8" ht="29.1" customHeight="1" x14ac:dyDescent="0.25">
      <c r="A28" s="276"/>
      <c r="B28" s="279"/>
      <c r="C28" s="22">
        <v>0</v>
      </c>
      <c r="D28" s="61" t="s">
        <v>47</v>
      </c>
      <c r="E28" s="24"/>
      <c r="H28" s="29"/>
    </row>
    <row r="29" spans="1:8" ht="15" customHeight="1" x14ac:dyDescent="0.25">
      <c r="A29" s="277"/>
      <c r="B29" s="280"/>
      <c r="C29" s="289" t="s">
        <v>33</v>
      </c>
      <c r="D29" s="290"/>
      <c r="E29" s="25">
        <f>IF(F23="Salah isi",0,E23)</f>
        <v>0</v>
      </c>
      <c r="H29" s="29"/>
    </row>
    <row r="30" spans="1:8" ht="15" customHeight="1" x14ac:dyDescent="0.25">
      <c r="A30" s="26"/>
      <c r="B30" s="26"/>
      <c r="C30" s="27"/>
      <c r="D30" s="63"/>
      <c r="E30" s="28"/>
      <c r="H30" s="29"/>
    </row>
    <row r="31" spans="1:8" ht="50.25" customHeight="1" x14ac:dyDescent="0.25">
      <c r="A31" s="275">
        <v>4</v>
      </c>
      <c r="B31" s="278"/>
      <c r="C31" s="287" t="s">
        <v>48</v>
      </c>
      <c r="D31" s="288"/>
      <c r="E31" s="21"/>
      <c r="F31" s="8" t="str">
        <f>IF(OR(ISBLANK(E31),E31&gt;4),"Salah isi","judge")</f>
        <v>Salah isi</v>
      </c>
      <c r="H31" s="212"/>
    </row>
    <row r="32" spans="1:8" ht="72.599999999999994" customHeight="1" x14ac:dyDescent="0.25">
      <c r="A32" s="276"/>
      <c r="B32" s="279"/>
      <c r="C32" s="22">
        <v>4</v>
      </c>
      <c r="D32" s="66" t="s">
        <v>49</v>
      </c>
      <c r="E32" s="23"/>
      <c r="H32" s="29"/>
    </row>
    <row r="33" spans="1:8" ht="72.599999999999994" customHeight="1" x14ac:dyDescent="0.25">
      <c r="A33" s="276"/>
      <c r="B33" s="279"/>
      <c r="C33" s="22">
        <v>3</v>
      </c>
      <c r="D33" s="61" t="s">
        <v>50</v>
      </c>
      <c r="E33" s="23"/>
      <c r="H33" s="29"/>
    </row>
    <row r="34" spans="1:8" ht="57.95" customHeight="1" x14ac:dyDescent="0.25">
      <c r="A34" s="276"/>
      <c r="B34" s="279"/>
      <c r="C34" s="22">
        <v>2</v>
      </c>
      <c r="D34" s="61" t="s">
        <v>51</v>
      </c>
      <c r="E34" s="23"/>
      <c r="H34" s="29"/>
    </row>
    <row r="35" spans="1:8" ht="43.5" customHeight="1" x14ac:dyDescent="0.25">
      <c r="A35" s="276"/>
      <c r="B35" s="279"/>
      <c r="C35" s="22">
        <v>1</v>
      </c>
      <c r="D35" s="61" t="s">
        <v>52</v>
      </c>
      <c r="E35" s="23"/>
      <c r="H35" s="29"/>
    </row>
    <row r="36" spans="1:8" ht="29.1" customHeight="1" x14ac:dyDescent="0.25">
      <c r="A36" s="276"/>
      <c r="B36" s="279"/>
      <c r="C36" s="22">
        <v>0</v>
      </c>
      <c r="D36" s="61" t="s">
        <v>53</v>
      </c>
      <c r="E36" s="24"/>
      <c r="H36" s="29"/>
    </row>
    <row r="37" spans="1:8" ht="15" customHeight="1" x14ac:dyDescent="0.25">
      <c r="A37" s="277"/>
      <c r="B37" s="280"/>
      <c r="C37" s="289" t="s">
        <v>33</v>
      </c>
      <c r="D37" s="290"/>
      <c r="E37" s="25">
        <f>IF(F31="Salah isi",0,E31)</f>
        <v>0</v>
      </c>
      <c r="H37" s="29"/>
    </row>
    <row r="38" spans="1:8" ht="15" customHeight="1" x14ac:dyDescent="0.25">
      <c r="A38" s="26"/>
      <c r="B38" s="26"/>
      <c r="C38" s="27"/>
      <c r="D38" s="63"/>
      <c r="E38" s="28"/>
      <c r="H38" s="29"/>
    </row>
    <row r="39" spans="1:8" ht="50.25" customHeight="1" x14ac:dyDescent="0.25">
      <c r="A39" s="275">
        <v>5</v>
      </c>
      <c r="B39" s="278"/>
      <c r="C39" s="287" t="s">
        <v>54</v>
      </c>
      <c r="D39" s="288"/>
      <c r="E39" s="21"/>
      <c r="F39" s="8" t="str">
        <f>IF(OR(ISBLANK(E39),E39&gt;4),"Salah isi","judge")</f>
        <v>Salah isi</v>
      </c>
      <c r="H39" s="212"/>
    </row>
    <row r="40" spans="1:8" ht="57.95" customHeight="1" x14ac:dyDescent="0.25">
      <c r="A40" s="276"/>
      <c r="B40" s="279"/>
      <c r="C40" s="22">
        <v>4</v>
      </c>
      <c r="D40" s="66" t="s">
        <v>55</v>
      </c>
      <c r="E40" s="23"/>
      <c r="H40" s="29"/>
    </row>
    <row r="41" spans="1:8" ht="57.95" customHeight="1" x14ac:dyDescent="0.25">
      <c r="A41" s="276"/>
      <c r="B41" s="279"/>
      <c r="C41" s="22">
        <v>3</v>
      </c>
      <c r="D41" s="61" t="s">
        <v>56</v>
      </c>
      <c r="E41" s="23"/>
      <c r="H41" s="29"/>
    </row>
    <row r="42" spans="1:8" ht="43.5" customHeight="1" x14ac:dyDescent="0.25">
      <c r="A42" s="276"/>
      <c r="B42" s="279"/>
      <c r="C42" s="22">
        <v>2</v>
      </c>
      <c r="D42" s="61" t="s">
        <v>57</v>
      </c>
      <c r="E42" s="23"/>
      <c r="H42" s="29"/>
    </row>
    <row r="43" spans="1:8" ht="29.1" customHeight="1" x14ac:dyDescent="0.25">
      <c r="A43" s="276"/>
      <c r="B43" s="279"/>
      <c r="C43" s="22">
        <v>1</v>
      </c>
      <c r="D43" s="61" t="s">
        <v>58</v>
      </c>
      <c r="E43" s="23"/>
      <c r="H43" s="29"/>
    </row>
    <row r="44" spans="1:8" x14ac:dyDescent="0.25">
      <c r="A44" s="276"/>
      <c r="B44" s="279"/>
      <c r="C44" s="22">
        <v>0</v>
      </c>
      <c r="D44" s="61" t="s">
        <v>59</v>
      </c>
      <c r="E44" s="24"/>
      <c r="H44" s="29"/>
    </row>
    <row r="45" spans="1:8" ht="15" customHeight="1" x14ac:dyDescent="0.25">
      <c r="A45" s="277"/>
      <c r="B45" s="280"/>
      <c r="C45" s="289" t="s">
        <v>33</v>
      </c>
      <c r="D45" s="290"/>
      <c r="E45" s="25">
        <f>IF(F39="Salah isi",0,E39)</f>
        <v>0</v>
      </c>
      <c r="H45" s="29"/>
    </row>
    <row r="46" spans="1:8" ht="15" customHeight="1" x14ac:dyDescent="0.25">
      <c r="A46" s="26"/>
      <c r="B46" s="26"/>
      <c r="C46" s="27"/>
      <c r="D46" s="63"/>
      <c r="E46" s="28"/>
      <c r="H46" s="29"/>
    </row>
    <row r="47" spans="1:8" ht="50.25" customHeight="1" x14ac:dyDescent="0.25">
      <c r="A47" s="275">
        <v>6</v>
      </c>
      <c r="B47" s="278" t="s">
        <v>60</v>
      </c>
      <c r="C47" s="287" t="s">
        <v>61</v>
      </c>
      <c r="D47" s="294"/>
      <c r="E47" s="21"/>
      <c r="F47" s="8" t="str">
        <f>IF(OR(ISBLANK(E47),E47&gt;4),"Salah isi","judge")</f>
        <v>Salah isi</v>
      </c>
      <c r="H47" s="212"/>
    </row>
    <row r="48" spans="1:8" ht="57.95" customHeight="1" x14ac:dyDescent="0.25">
      <c r="A48" s="276"/>
      <c r="B48" s="279"/>
      <c r="C48" s="30">
        <v>4</v>
      </c>
      <c r="D48" s="67" t="s">
        <v>62</v>
      </c>
      <c r="E48" s="31"/>
      <c r="H48" s="29"/>
    </row>
    <row r="49" spans="1:8" ht="43.5" customHeight="1" x14ac:dyDescent="0.25">
      <c r="A49" s="276"/>
      <c r="B49" s="279"/>
      <c r="C49" s="30">
        <v>3</v>
      </c>
      <c r="D49" s="67" t="s">
        <v>63</v>
      </c>
      <c r="E49" s="31"/>
      <c r="H49" s="29"/>
    </row>
    <row r="50" spans="1:8" ht="43.5" customHeight="1" x14ac:dyDescent="0.25">
      <c r="A50" s="276"/>
      <c r="B50" s="279"/>
      <c r="C50" s="30">
        <v>2</v>
      </c>
      <c r="D50" s="67" t="s">
        <v>64</v>
      </c>
      <c r="E50" s="31"/>
      <c r="H50" s="29"/>
    </row>
    <row r="51" spans="1:8" ht="29.1" customHeight="1" x14ac:dyDescent="0.25">
      <c r="A51" s="276"/>
      <c r="B51" s="279"/>
      <c r="C51" s="30">
        <v>1</v>
      </c>
      <c r="D51" s="67" t="s">
        <v>65</v>
      </c>
      <c r="E51" s="31"/>
      <c r="H51" s="29"/>
    </row>
    <row r="52" spans="1:8" x14ac:dyDescent="0.25">
      <c r="A52" s="276"/>
      <c r="B52" s="279"/>
      <c r="C52" s="30">
        <v>0</v>
      </c>
      <c r="D52" s="67" t="s">
        <v>66</v>
      </c>
      <c r="E52" s="32"/>
      <c r="H52" s="29"/>
    </row>
    <row r="53" spans="1:8" ht="50.25" customHeight="1" x14ac:dyDescent="0.25">
      <c r="A53" s="276"/>
      <c r="B53" s="279"/>
      <c r="C53" s="295" t="s">
        <v>67</v>
      </c>
      <c r="D53" s="296"/>
      <c r="E53" s="33"/>
      <c r="F53" s="8" t="str">
        <f>IF(OR(ISBLANK(E53),E53&lt;1,E53&gt;4),"Salah isi","judge")</f>
        <v>Salah isi</v>
      </c>
      <c r="H53" s="29"/>
    </row>
    <row r="54" spans="1:8" ht="43.5" customHeight="1" x14ac:dyDescent="0.25">
      <c r="A54" s="276"/>
      <c r="B54" s="279"/>
      <c r="C54" s="30">
        <v>4</v>
      </c>
      <c r="D54" s="67" t="s">
        <v>68</v>
      </c>
      <c r="E54" s="31"/>
      <c r="H54" s="29"/>
    </row>
    <row r="55" spans="1:8" ht="43.5" customHeight="1" x14ac:dyDescent="0.25">
      <c r="A55" s="276"/>
      <c r="B55" s="279"/>
      <c r="C55" s="30">
        <v>3</v>
      </c>
      <c r="D55" s="67" t="s">
        <v>69</v>
      </c>
      <c r="E55" s="31"/>
      <c r="H55" s="29"/>
    </row>
    <row r="56" spans="1:8" ht="43.5" customHeight="1" x14ac:dyDescent="0.25">
      <c r="A56" s="276"/>
      <c r="B56" s="279"/>
      <c r="C56" s="30">
        <v>2</v>
      </c>
      <c r="D56" s="67" t="s">
        <v>70</v>
      </c>
      <c r="E56" s="31"/>
      <c r="H56" s="29"/>
    </row>
    <row r="57" spans="1:8" ht="43.5" customHeight="1" x14ac:dyDescent="0.25">
      <c r="A57" s="276"/>
      <c r="B57" s="279"/>
      <c r="C57" s="30">
        <v>1</v>
      </c>
      <c r="D57" s="67" t="s">
        <v>71</v>
      </c>
      <c r="E57" s="31"/>
      <c r="H57" s="29"/>
    </row>
    <row r="58" spans="1:8" x14ac:dyDescent="0.25">
      <c r="A58" s="276"/>
      <c r="B58" s="279"/>
      <c r="C58" s="30">
        <v>0</v>
      </c>
      <c r="D58" s="67" t="s">
        <v>72</v>
      </c>
      <c r="E58" s="32"/>
      <c r="H58" s="29"/>
    </row>
    <row r="59" spans="1:8" ht="15" customHeight="1" x14ac:dyDescent="0.25">
      <c r="A59" s="277"/>
      <c r="B59" s="280"/>
      <c r="C59" s="289" t="s">
        <v>73</v>
      </c>
      <c r="D59" s="297"/>
      <c r="E59" s="25">
        <f>IF(OR(F47="Salah isi",F53="Salah isi"),0,(E47+2*E53)/3)</f>
        <v>0</v>
      </c>
      <c r="H59" s="29"/>
    </row>
    <row r="60" spans="1:8" ht="15" customHeight="1" x14ac:dyDescent="0.25">
      <c r="A60" s="26"/>
      <c r="B60" s="26"/>
      <c r="C60" s="27"/>
      <c r="D60" s="63"/>
      <c r="E60" s="28"/>
      <c r="H60" s="29"/>
    </row>
    <row r="61" spans="1:8" ht="35.1" customHeight="1" x14ac:dyDescent="0.25">
      <c r="A61" s="275">
        <v>7</v>
      </c>
      <c r="B61" s="278" t="s">
        <v>74</v>
      </c>
      <c r="C61" s="287" t="s">
        <v>75</v>
      </c>
      <c r="D61" s="294"/>
      <c r="E61" s="21"/>
      <c r="F61" s="8" t="str">
        <f>IF(OR(ISBLANK(E61),E61&lt;2,E61&gt;4),"Salah isi","judge")</f>
        <v>Salah isi</v>
      </c>
      <c r="H61" s="212"/>
    </row>
    <row r="62" spans="1:8" ht="43.5" customHeight="1" x14ac:dyDescent="0.25">
      <c r="A62" s="276"/>
      <c r="B62" s="279"/>
      <c r="C62" s="30">
        <v>4</v>
      </c>
      <c r="D62" s="62" t="s">
        <v>76</v>
      </c>
      <c r="E62" s="31"/>
      <c r="H62" s="29"/>
    </row>
    <row r="63" spans="1:8" ht="43.5" customHeight="1" x14ac:dyDescent="0.25">
      <c r="A63" s="276"/>
      <c r="B63" s="279"/>
      <c r="C63" s="30">
        <v>3</v>
      </c>
      <c r="D63" s="62" t="s">
        <v>77</v>
      </c>
      <c r="E63" s="31"/>
      <c r="H63" s="29"/>
    </row>
    <row r="64" spans="1:8" ht="43.5" customHeight="1" x14ac:dyDescent="0.25">
      <c r="A64" s="276"/>
      <c r="B64" s="279"/>
      <c r="C64" s="30">
        <v>2</v>
      </c>
      <c r="D64" s="62" t="s">
        <v>78</v>
      </c>
      <c r="E64" s="31"/>
      <c r="H64" s="29"/>
    </row>
    <row r="65" spans="1:8" x14ac:dyDescent="0.25">
      <c r="A65" s="276"/>
      <c r="B65" s="279"/>
      <c r="C65" s="30">
        <v>1</v>
      </c>
      <c r="D65" s="341" t="s">
        <v>79</v>
      </c>
      <c r="E65" s="339"/>
      <c r="H65" s="29"/>
    </row>
    <row r="66" spans="1:8" x14ac:dyDescent="0.25">
      <c r="A66" s="276"/>
      <c r="B66" s="279"/>
      <c r="C66" s="30">
        <v>0</v>
      </c>
      <c r="D66" s="342"/>
      <c r="E66" s="340"/>
      <c r="H66" s="29"/>
    </row>
    <row r="67" spans="1:8" ht="59.45" customHeight="1" x14ac:dyDescent="0.25">
      <c r="A67" s="276"/>
      <c r="B67" s="279"/>
      <c r="C67" s="295" t="s">
        <v>80</v>
      </c>
      <c r="D67" s="296"/>
      <c r="E67" s="33"/>
      <c r="F67" s="8" t="str">
        <f>IF(OR(ISBLANK(E67),E67&lt;1,E67&gt;4),"Salah isi","judge")</f>
        <v>Salah isi</v>
      </c>
      <c r="H67" s="29"/>
    </row>
    <row r="68" spans="1:8" ht="72.599999999999994" customHeight="1" x14ac:dyDescent="0.25">
      <c r="A68" s="276"/>
      <c r="B68" s="279"/>
      <c r="C68" s="30">
        <v>4</v>
      </c>
      <c r="D68" s="62" t="s">
        <v>81</v>
      </c>
      <c r="E68" s="31"/>
      <c r="H68" s="29"/>
    </row>
    <row r="69" spans="1:8" ht="57.95" customHeight="1" x14ac:dyDescent="0.25">
      <c r="A69" s="276"/>
      <c r="B69" s="279"/>
      <c r="C69" s="30">
        <v>3</v>
      </c>
      <c r="D69" s="62" t="s">
        <v>82</v>
      </c>
      <c r="E69" s="31"/>
      <c r="H69" s="29"/>
    </row>
    <row r="70" spans="1:8" ht="29.1" customHeight="1" x14ac:dyDescent="0.25">
      <c r="A70" s="276"/>
      <c r="B70" s="279"/>
      <c r="C70" s="30">
        <v>2</v>
      </c>
      <c r="D70" s="62" t="s">
        <v>83</v>
      </c>
      <c r="E70" s="31"/>
      <c r="H70" s="29"/>
    </row>
    <row r="71" spans="1:8" ht="29.1" customHeight="1" x14ac:dyDescent="0.25">
      <c r="A71" s="276"/>
      <c r="B71" s="279"/>
      <c r="C71" s="30">
        <v>1</v>
      </c>
      <c r="D71" s="62" t="s">
        <v>84</v>
      </c>
      <c r="E71" s="31"/>
      <c r="H71" s="29"/>
    </row>
    <row r="72" spans="1:8" x14ac:dyDescent="0.25">
      <c r="A72" s="276"/>
      <c r="B72" s="279"/>
      <c r="C72" s="30">
        <v>0</v>
      </c>
      <c r="D72" s="62" t="s">
        <v>72</v>
      </c>
      <c r="E72" s="32"/>
      <c r="H72" s="29"/>
    </row>
    <row r="73" spans="1:8" ht="15" customHeight="1" x14ac:dyDescent="0.25">
      <c r="A73" s="277"/>
      <c r="B73" s="280"/>
      <c r="C73" s="289" t="s">
        <v>73</v>
      </c>
      <c r="D73" s="297"/>
      <c r="E73" s="25">
        <f>IF(OR(F61="Salah isi",F67="Salah isi"),0,(E61+2*E67)/3)</f>
        <v>0</v>
      </c>
      <c r="H73" s="29"/>
    </row>
    <row r="74" spans="1:8" ht="15" customHeight="1" x14ac:dyDescent="0.25">
      <c r="A74" s="26"/>
      <c r="B74" s="26"/>
      <c r="C74" s="27"/>
      <c r="D74" s="63"/>
      <c r="E74" s="28"/>
      <c r="H74" s="29"/>
    </row>
    <row r="75" spans="1:8" ht="120" customHeight="1" x14ac:dyDescent="0.25">
      <c r="A75" s="275">
        <v>8</v>
      </c>
      <c r="B75" s="278" t="s">
        <v>85</v>
      </c>
      <c r="C75" s="328" t="s">
        <v>86</v>
      </c>
      <c r="D75" s="294"/>
      <c r="E75" s="21"/>
      <c r="F75" s="8" t="str">
        <f>IF(OR(ISBLANK(E75),E75&lt;1,E75&gt;4),"Salah isi","judge")</f>
        <v>Salah isi</v>
      </c>
      <c r="H75" s="212"/>
    </row>
    <row r="76" spans="1:8" ht="29.1" customHeight="1" x14ac:dyDescent="0.25">
      <c r="A76" s="276"/>
      <c r="B76" s="279"/>
      <c r="C76" s="30">
        <v>4</v>
      </c>
      <c r="D76" s="67" t="s">
        <v>87</v>
      </c>
      <c r="E76" s="31"/>
      <c r="H76" s="29"/>
    </row>
    <row r="77" spans="1:8" ht="29.1" customHeight="1" x14ac:dyDescent="0.25">
      <c r="A77" s="276"/>
      <c r="B77" s="279"/>
      <c r="C77" s="30">
        <v>3</v>
      </c>
      <c r="D77" s="67" t="s">
        <v>88</v>
      </c>
      <c r="E77" s="31"/>
      <c r="H77" s="29"/>
    </row>
    <row r="78" spans="1:8" ht="29.1" customHeight="1" x14ac:dyDescent="0.25">
      <c r="A78" s="276"/>
      <c r="B78" s="279"/>
      <c r="C78" s="30">
        <v>2</v>
      </c>
      <c r="D78" s="67" t="s">
        <v>89</v>
      </c>
      <c r="E78" s="31"/>
      <c r="H78" s="29"/>
    </row>
    <row r="79" spans="1:8" x14ac:dyDescent="0.25">
      <c r="A79" s="276"/>
      <c r="B79" s="279"/>
      <c r="C79" s="30">
        <v>1</v>
      </c>
      <c r="D79" s="67" t="s">
        <v>90</v>
      </c>
      <c r="E79" s="31"/>
      <c r="H79" s="29"/>
    </row>
    <row r="80" spans="1:8" x14ac:dyDescent="0.25">
      <c r="A80" s="276"/>
      <c r="B80" s="279"/>
      <c r="C80" s="30">
        <v>0</v>
      </c>
      <c r="D80" s="67" t="s">
        <v>72</v>
      </c>
      <c r="E80" s="32"/>
      <c r="H80" s="29"/>
    </row>
    <row r="81" spans="1:8" ht="15" customHeight="1" x14ac:dyDescent="0.25">
      <c r="A81" s="277"/>
      <c r="B81" s="280"/>
      <c r="C81" s="329" t="s">
        <v>33</v>
      </c>
      <c r="D81" s="330"/>
      <c r="E81" s="34">
        <f>IF(F75="Salah isi",0,E75)</f>
        <v>0</v>
      </c>
      <c r="H81" s="29"/>
    </row>
    <row r="82" spans="1:8" ht="15" customHeight="1" x14ac:dyDescent="0.25">
      <c r="A82" s="26"/>
      <c r="B82" s="26"/>
      <c r="C82" s="35"/>
      <c r="D82" s="68"/>
      <c r="E82" s="28"/>
      <c r="H82" s="29"/>
    </row>
    <row r="83" spans="1:8" ht="51" customHeight="1" x14ac:dyDescent="0.25">
      <c r="A83" s="275">
        <v>9</v>
      </c>
      <c r="B83" s="298"/>
      <c r="C83" s="281" t="s">
        <v>91</v>
      </c>
      <c r="D83" s="281"/>
      <c r="E83" s="36"/>
      <c r="H83" s="212"/>
    </row>
    <row r="84" spans="1:8" ht="15.75" customHeight="1" x14ac:dyDescent="0.35">
      <c r="A84" s="276"/>
      <c r="B84" s="299"/>
      <c r="C84" s="331" t="s">
        <v>92</v>
      </c>
      <c r="D84" s="331"/>
      <c r="E84" s="57">
        <v>0</v>
      </c>
      <c r="F84" s="8" t="s">
        <v>93</v>
      </c>
      <c r="G84" s="37"/>
      <c r="H84" s="29"/>
    </row>
    <row r="85" spans="1:8" ht="15.75" customHeight="1" x14ac:dyDescent="0.35">
      <c r="A85" s="276"/>
      <c r="B85" s="299"/>
      <c r="C85" s="331" t="s">
        <v>94</v>
      </c>
      <c r="D85" s="331"/>
      <c r="E85" s="57">
        <v>0</v>
      </c>
      <c r="F85" s="8" t="s">
        <v>93</v>
      </c>
      <c r="G85" s="37"/>
      <c r="H85" s="29"/>
    </row>
    <row r="86" spans="1:8" ht="15.75" customHeight="1" x14ac:dyDescent="0.35">
      <c r="A86" s="276"/>
      <c r="B86" s="299"/>
      <c r="C86" s="331" t="s">
        <v>95</v>
      </c>
      <c r="D86" s="331"/>
      <c r="E86" s="57">
        <v>0</v>
      </c>
      <c r="F86" s="8" t="s">
        <v>93</v>
      </c>
      <c r="G86" s="37"/>
      <c r="H86" s="29"/>
    </row>
    <row r="87" spans="1:8" ht="47.45" customHeight="1" x14ac:dyDescent="0.25">
      <c r="A87" s="276"/>
      <c r="B87" s="299"/>
      <c r="C87" s="282" t="s">
        <v>96</v>
      </c>
      <c r="D87" s="283"/>
      <c r="E87" s="57">
        <v>6</v>
      </c>
      <c r="F87" s="8" t="s">
        <v>93</v>
      </c>
      <c r="G87" s="37"/>
      <c r="H87" s="29"/>
    </row>
    <row r="88" spans="1:8" x14ac:dyDescent="0.25">
      <c r="A88" s="276"/>
      <c r="B88" s="299"/>
      <c r="C88" s="324" t="s">
        <v>97</v>
      </c>
      <c r="D88" s="324"/>
      <c r="E88" s="54">
        <f>IF(E87&gt;0,(D89*E84+D90*E85+D91*E86)/E87,0)</f>
        <v>0</v>
      </c>
      <c r="G88" s="41"/>
      <c r="H88" s="29"/>
    </row>
    <row r="89" spans="1:8" ht="14.45" hidden="1" customHeight="1" x14ac:dyDescent="0.25">
      <c r="A89" s="276"/>
      <c r="B89" s="299"/>
      <c r="C89" s="145" t="s">
        <v>98</v>
      </c>
      <c r="D89" s="145">
        <v>3</v>
      </c>
      <c r="E89" s="122"/>
      <c r="G89" s="41"/>
      <c r="H89" s="29"/>
    </row>
    <row r="90" spans="1:8" ht="14.45" hidden="1" customHeight="1" x14ac:dyDescent="0.25">
      <c r="A90" s="276"/>
      <c r="B90" s="299"/>
      <c r="C90" s="145" t="s">
        <v>99</v>
      </c>
      <c r="D90" s="145">
        <v>2</v>
      </c>
      <c r="E90" s="122"/>
      <c r="G90" s="41"/>
      <c r="H90" s="29"/>
    </row>
    <row r="91" spans="1:8" ht="14.45" hidden="1" customHeight="1" x14ac:dyDescent="0.25">
      <c r="A91" s="276"/>
      <c r="B91" s="299"/>
      <c r="C91" s="145" t="s">
        <v>100</v>
      </c>
      <c r="D91" s="145">
        <v>1</v>
      </c>
      <c r="E91" s="122"/>
      <c r="G91" s="41"/>
      <c r="H91" s="29"/>
    </row>
    <row r="92" spans="1:8" ht="29.1" hidden="1" customHeight="1" x14ac:dyDescent="0.25">
      <c r="A92" s="276"/>
      <c r="B92" s="299"/>
      <c r="C92" s="145" t="s">
        <v>101</v>
      </c>
      <c r="D92" s="145">
        <v>4</v>
      </c>
      <c r="E92" s="122"/>
      <c r="G92" s="41"/>
      <c r="H92" s="29"/>
    </row>
    <row r="93" spans="1:8" ht="15" customHeight="1" x14ac:dyDescent="0.25">
      <c r="A93" s="276"/>
      <c r="B93" s="299"/>
      <c r="C93" s="301" t="s">
        <v>102</v>
      </c>
      <c r="D93" s="302"/>
      <c r="E93" s="25">
        <f>IF(E88&gt;=D92,4,E88)</f>
        <v>0</v>
      </c>
      <c r="G93" s="38"/>
      <c r="H93" s="29"/>
    </row>
    <row r="94" spans="1:8" ht="45.6" customHeight="1" x14ac:dyDescent="0.25">
      <c r="A94" s="276"/>
      <c r="B94" s="299"/>
      <c r="C94" s="281" t="s">
        <v>103</v>
      </c>
      <c r="D94" s="281"/>
      <c r="E94" s="83"/>
      <c r="G94" s="38"/>
      <c r="H94" s="29"/>
    </row>
    <row r="95" spans="1:8" ht="15.75" customHeight="1" x14ac:dyDescent="0.35">
      <c r="A95" s="276"/>
      <c r="B95" s="299"/>
      <c r="C95" s="332" t="s">
        <v>104</v>
      </c>
      <c r="D95" s="333"/>
      <c r="E95" s="84">
        <v>0</v>
      </c>
      <c r="F95" s="8" t="s">
        <v>93</v>
      </c>
      <c r="G95" s="37"/>
      <c r="H95" s="29"/>
    </row>
    <row r="96" spans="1:8" ht="15.75" customHeight="1" x14ac:dyDescent="0.35">
      <c r="A96" s="276"/>
      <c r="B96" s="299"/>
      <c r="C96" s="332" t="s">
        <v>105</v>
      </c>
      <c r="D96" s="333"/>
      <c r="E96" s="57">
        <v>0</v>
      </c>
      <c r="F96" s="8" t="s">
        <v>93</v>
      </c>
      <c r="G96" s="37"/>
      <c r="H96" s="29"/>
    </row>
    <row r="97" spans="1:8" ht="15.75" customHeight="1" x14ac:dyDescent="0.35">
      <c r="A97" s="276"/>
      <c r="B97" s="299"/>
      <c r="C97" s="332" t="s">
        <v>106</v>
      </c>
      <c r="D97" s="333"/>
      <c r="E97" s="57">
        <v>0</v>
      </c>
      <c r="F97" s="8" t="s">
        <v>93</v>
      </c>
      <c r="G97" s="37"/>
      <c r="H97" s="29"/>
    </row>
    <row r="98" spans="1:8" ht="14.45" hidden="1" customHeight="1" x14ac:dyDescent="0.25">
      <c r="A98" s="276"/>
      <c r="B98" s="299"/>
      <c r="C98" s="213" t="s">
        <v>98</v>
      </c>
      <c r="D98" s="214">
        <v>2</v>
      </c>
      <c r="E98" s="122"/>
      <c r="G98" s="41"/>
      <c r="H98" s="29"/>
    </row>
    <row r="99" spans="1:8" ht="14.45" hidden="1" customHeight="1" x14ac:dyDescent="0.25">
      <c r="A99" s="276"/>
      <c r="B99" s="299"/>
      <c r="C99" s="213" t="s">
        <v>99</v>
      </c>
      <c r="D99" s="214">
        <v>6</v>
      </c>
      <c r="E99" s="122"/>
      <c r="G99" s="41"/>
      <c r="H99" s="29"/>
    </row>
    <row r="100" spans="1:8" ht="14.45" hidden="1" customHeight="1" x14ac:dyDescent="0.25">
      <c r="A100" s="276"/>
      <c r="B100" s="299"/>
      <c r="C100" s="213" t="s">
        <v>100</v>
      </c>
      <c r="D100" s="214">
        <v>9</v>
      </c>
      <c r="E100" s="122"/>
      <c r="G100" s="85"/>
      <c r="H100" s="29"/>
    </row>
    <row r="101" spans="1:8" ht="14.45" hidden="1" customHeight="1" x14ac:dyDescent="0.25">
      <c r="A101" s="276"/>
      <c r="B101" s="299"/>
      <c r="C101" s="124"/>
      <c r="D101" s="125" t="s">
        <v>107</v>
      </c>
      <c r="E101" s="126" t="str">
        <f>IF(E95&gt;=D98,"YES","NO")</f>
        <v>NO</v>
      </c>
      <c r="G101" s="86"/>
      <c r="H101" s="29"/>
    </row>
    <row r="102" spans="1:8" ht="14.45" hidden="1" customHeight="1" x14ac:dyDescent="0.25">
      <c r="A102" s="276"/>
      <c r="B102" s="299"/>
      <c r="C102" s="124"/>
      <c r="D102" s="125" t="s">
        <v>108</v>
      </c>
      <c r="E102" s="126" t="str">
        <f>IF(AND(E95&lt;D98,E96&gt;=D99),"YES","NO")</f>
        <v>NO</v>
      </c>
      <c r="G102" s="86"/>
      <c r="H102" s="29"/>
    </row>
    <row r="103" spans="1:8" ht="14.45" hidden="1" customHeight="1" x14ac:dyDescent="0.25">
      <c r="A103" s="276"/>
      <c r="B103" s="299"/>
      <c r="C103" s="124"/>
      <c r="D103" s="125" t="s">
        <v>109</v>
      </c>
      <c r="E103" s="126" t="str">
        <f>IF(OR(AND(E95&gt;0,E95&lt;D98,E96=0),AND(E96&gt;0,E96&lt;D99,E95=0),AND(E95&gt;0,E95&lt;D98,E96&gt;0,E96&lt;D99)),"YES","NO")</f>
        <v>NO</v>
      </c>
      <c r="G103" s="41"/>
      <c r="H103" s="29"/>
    </row>
    <row r="104" spans="1:8" ht="14.45" hidden="1" customHeight="1" x14ac:dyDescent="0.25">
      <c r="A104" s="276"/>
      <c r="B104" s="299"/>
      <c r="C104" s="124"/>
      <c r="D104" s="125" t="s">
        <v>110</v>
      </c>
      <c r="E104" s="126" t="str">
        <f>IF(AND(E95=0,E96=0,E97&gt;=D100),"YES","NO")</f>
        <v>NO</v>
      </c>
      <c r="G104" s="41"/>
      <c r="H104" s="29"/>
    </row>
    <row r="105" spans="1:8" ht="14.45" hidden="1" customHeight="1" x14ac:dyDescent="0.25">
      <c r="A105" s="276"/>
      <c r="B105" s="299"/>
      <c r="C105" s="124"/>
      <c r="D105" s="125" t="s">
        <v>111</v>
      </c>
      <c r="E105" s="126" t="str">
        <f>IF(AND(E95=0,E96=0,E97&lt;D100),"YES","NO")</f>
        <v>YES</v>
      </c>
      <c r="G105" s="41"/>
      <c r="H105" s="29"/>
    </row>
    <row r="106" spans="1:8" ht="14.45" hidden="1" customHeight="1" x14ac:dyDescent="0.25">
      <c r="A106" s="276"/>
      <c r="B106" s="299"/>
      <c r="C106" s="292"/>
      <c r="D106" s="293"/>
      <c r="E106" s="215"/>
      <c r="G106" s="41"/>
      <c r="H106" s="29"/>
    </row>
    <row r="107" spans="1:8" ht="15" customHeight="1" x14ac:dyDescent="0.25">
      <c r="A107" s="276"/>
      <c r="B107" s="299"/>
      <c r="C107" s="334" t="s">
        <v>112</v>
      </c>
      <c r="D107" s="335"/>
      <c r="E107" s="216">
        <f>IF(E101="YES",4,IF(E102="YES",3+E95/D98,IF(E103="YES",2+2*E95/D98+E96/D99-(E95*E96)/(D98*D99),IF(E104="YES",2,2*E97/D100))))</f>
        <v>0</v>
      </c>
      <c r="G107" s="38"/>
      <c r="H107" s="29"/>
    </row>
    <row r="108" spans="1:8" ht="15" customHeight="1" x14ac:dyDescent="0.25">
      <c r="A108" s="277"/>
      <c r="B108" s="300"/>
      <c r="C108" s="301" t="s">
        <v>113</v>
      </c>
      <c r="D108" s="302"/>
      <c r="E108" s="25">
        <f>(2*E93+E107)/3</f>
        <v>0</v>
      </c>
      <c r="G108" s="38"/>
      <c r="H108" s="29"/>
    </row>
    <row r="109" spans="1:8" ht="15" customHeight="1" x14ac:dyDescent="0.25">
      <c r="C109" s="39"/>
      <c r="D109" s="69"/>
      <c r="H109" s="40"/>
    </row>
    <row r="110" spans="1:8" ht="48" customHeight="1" x14ac:dyDescent="0.25">
      <c r="A110" s="275">
        <v>10</v>
      </c>
      <c r="B110" s="278" t="s">
        <v>114</v>
      </c>
      <c r="C110" s="287" t="s">
        <v>115</v>
      </c>
      <c r="D110" s="294"/>
      <c r="E110" s="21"/>
      <c r="F110" s="8" t="str">
        <f>IF(OR(ISBLANK(E110),E110&lt;2,E110&gt;4),"Salah isi","judge")</f>
        <v>Salah isi</v>
      </c>
      <c r="H110" s="212"/>
    </row>
    <row r="111" spans="1:8" ht="87" customHeight="1" x14ac:dyDescent="0.25">
      <c r="A111" s="276"/>
      <c r="B111" s="279"/>
      <c r="C111" s="30">
        <v>4</v>
      </c>
      <c r="D111" s="67" t="s">
        <v>116</v>
      </c>
      <c r="E111" s="31"/>
      <c r="H111" s="29"/>
    </row>
    <row r="112" spans="1:8" ht="87" customHeight="1" x14ac:dyDescent="0.25">
      <c r="A112" s="276"/>
      <c r="B112" s="279"/>
      <c r="C112" s="30">
        <v>3</v>
      </c>
      <c r="D112" s="67" t="s">
        <v>117</v>
      </c>
      <c r="E112" s="31"/>
      <c r="H112" s="29"/>
    </row>
    <row r="113" spans="1:8" x14ac:dyDescent="0.25">
      <c r="A113" s="276"/>
      <c r="B113" s="279"/>
      <c r="C113" s="30">
        <v>2</v>
      </c>
      <c r="D113" s="67" t="s">
        <v>118</v>
      </c>
      <c r="E113" s="31"/>
      <c r="H113" s="29"/>
    </row>
    <row r="114" spans="1:8" x14ac:dyDescent="0.25">
      <c r="A114" s="276"/>
      <c r="B114" s="279"/>
      <c r="C114" s="30">
        <v>1</v>
      </c>
      <c r="D114" s="324" t="s">
        <v>79</v>
      </c>
      <c r="E114" s="31"/>
      <c r="H114" s="29"/>
    </row>
    <row r="115" spans="1:8" ht="14.85" customHeight="1" x14ac:dyDescent="0.25">
      <c r="A115" s="276"/>
      <c r="B115" s="279"/>
      <c r="C115" s="30">
        <v>0</v>
      </c>
      <c r="D115" s="324"/>
      <c r="E115" s="32"/>
      <c r="H115" s="29"/>
    </row>
    <row r="116" spans="1:8" ht="15" customHeight="1" x14ac:dyDescent="0.25">
      <c r="A116" s="277"/>
      <c r="B116" s="280"/>
      <c r="C116" s="289" t="s">
        <v>33</v>
      </c>
      <c r="D116" s="290"/>
      <c r="E116" s="25">
        <f>IF(F110="Salah isi",0,E110)</f>
        <v>0</v>
      </c>
      <c r="H116" s="29"/>
    </row>
    <row r="117" spans="1:8" ht="15" customHeight="1" x14ac:dyDescent="0.25">
      <c r="A117" s="26"/>
      <c r="B117" s="26"/>
      <c r="C117" s="27"/>
      <c r="D117" s="63"/>
      <c r="E117" s="28"/>
      <c r="H117" s="29"/>
    </row>
    <row r="118" spans="1:8" ht="108.75" customHeight="1" x14ac:dyDescent="0.25">
      <c r="A118" s="275">
        <v>11</v>
      </c>
      <c r="B118" s="278" t="s">
        <v>119</v>
      </c>
      <c r="C118" s="287" t="s">
        <v>120</v>
      </c>
      <c r="D118" s="294"/>
      <c r="E118" s="21"/>
      <c r="F118" s="8" t="str">
        <f>IF(OR(ISBLANK(E118),E118&gt;4),"Salah isi","judge")</f>
        <v>Salah isi</v>
      </c>
      <c r="H118" s="212"/>
    </row>
    <row r="119" spans="1:8" ht="43.5" customHeight="1" x14ac:dyDescent="0.25">
      <c r="A119" s="276"/>
      <c r="B119" s="279"/>
      <c r="C119" s="30">
        <v>4</v>
      </c>
      <c r="D119" s="67" t="s">
        <v>121</v>
      </c>
      <c r="E119" s="31"/>
      <c r="H119" s="29"/>
    </row>
    <row r="120" spans="1:8" ht="29.1" customHeight="1" x14ac:dyDescent="0.25">
      <c r="A120" s="276"/>
      <c r="B120" s="279"/>
      <c r="C120" s="30">
        <v>3</v>
      </c>
      <c r="D120" s="67" t="s">
        <v>122</v>
      </c>
      <c r="E120" s="31"/>
      <c r="H120" s="29"/>
    </row>
    <row r="121" spans="1:8" ht="30" x14ac:dyDescent="0.25">
      <c r="A121" s="276"/>
      <c r="B121" s="279"/>
      <c r="C121" s="30">
        <v>2</v>
      </c>
      <c r="D121" s="67" t="s">
        <v>123</v>
      </c>
      <c r="E121" s="31"/>
      <c r="H121" s="29"/>
    </row>
    <row r="122" spans="1:8" ht="28.5" customHeight="1" x14ac:dyDescent="0.25">
      <c r="A122" s="276"/>
      <c r="B122" s="279"/>
      <c r="C122" s="30">
        <v>1</v>
      </c>
      <c r="D122" s="67" t="s">
        <v>124</v>
      </c>
      <c r="E122" s="31"/>
      <c r="H122" s="29"/>
    </row>
    <row r="123" spans="1:8" ht="14.85" customHeight="1" x14ac:dyDescent="0.25">
      <c r="A123" s="276"/>
      <c r="B123" s="279"/>
      <c r="C123" s="30">
        <v>0</v>
      </c>
      <c r="D123" s="67" t="s">
        <v>125</v>
      </c>
      <c r="E123" s="32"/>
      <c r="H123" s="29"/>
    </row>
    <row r="124" spans="1:8" ht="15" customHeight="1" x14ac:dyDescent="0.25">
      <c r="A124" s="277"/>
      <c r="B124" s="280"/>
      <c r="C124" s="289" t="s">
        <v>33</v>
      </c>
      <c r="D124" s="290"/>
      <c r="E124" s="25">
        <f>IF(F118="Salah isi",0,E118)</f>
        <v>0</v>
      </c>
      <c r="H124" s="29"/>
    </row>
    <row r="125" spans="1:8" ht="15" customHeight="1" x14ac:dyDescent="0.25">
      <c r="A125" s="26"/>
      <c r="B125" s="26"/>
      <c r="C125" s="27"/>
      <c r="D125" s="63"/>
      <c r="E125" s="28"/>
      <c r="H125" s="29"/>
    </row>
    <row r="126" spans="1:8" ht="126.6" customHeight="1" x14ac:dyDescent="0.25">
      <c r="A126" s="275">
        <v>12</v>
      </c>
      <c r="B126" s="278" t="s">
        <v>126</v>
      </c>
      <c r="C126" s="287" t="s">
        <v>127</v>
      </c>
      <c r="D126" s="294"/>
      <c r="E126" s="21"/>
      <c r="F126" s="8" t="str">
        <f>IF(OR(ISBLANK(E126),E126&gt;4),"Salah isi","judge")</f>
        <v>Salah isi</v>
      </c>
      <c r="H126" s="212"/>
    </row>
    <row r="127" spans="1:8" x14ac:dyDescent="0.25">
      <c r="A127" s="276"/>
      <c r="B127" s="279"/>
      <c r="C127" s="30">
        <v>4</v>
      </c>
      <c r="D127" s="67" t="s">
        <v>128</v>
      </c>
      <c r="E127" s="31"/>
      <c r="H127" s="29"/>
    </row>
    <row r="128" spans="1:8" ht="29.1" customHeight="1" x14ac:dyDescent="0.25">
      <c r="A128" s="276"/>
      <c r="B128" s="279"/>
      <c r="C128" s="30">
        <v>3</v>
      </c>
      <c r="D128" s="67" t="s">
        <v>129</v>
      </c>
      <c r="E128" s="31"/>
      <c r="H128" s="29"/>
    </row>
    <row r="129" spans="1:8" ht="29.1" customHeight="1" x14ac:dyDescent="0.25">
      <c r="A129" s="276"/>
      <c r="B129" s="279"/>
      <c r="C129" s="30">
        <v>2</v>
      </c>
      <c r="D129" s="67" t="s">
        <v>130</v>
      </c>
      <c r="E129" s="31"/>
      <c r="H129" s="29"/>
    </row>
    <row r="130" spans="1:8" ht="43.5" customHeight="1" x14ac:dyDescent="0.25">
      <c r="A130" s="276"/>
      <c r="B130" s="279"/>
      <c r="C130" s="30">
        <v>1</v>
      </c>
      <c r="D130" s="67" t="s">
        <v>131</v>
      </c>
      <c r="E130" s="31"/>
      <c r="H130" s="29"/>
    </row>
    <row r="131" spans="1:8" ht="29.1" customHeight="1" x14ac:dyDescent="0.25">
      <c r="A131" s="276"/>
      <c r="B131" s="279"/>
      <c r="C131" s="30">
        <v>0</v>
      </c>
      <c r="D131" s="67" t="s">
        <v>132</v>
      </c>
      <c r="E131" s="32"/>
      <c r="H131" s="29"/>
    </row>
    <row r="132" spans="1:8" ht="15" customHeight="1" x14ac:dyDescent="0.25">
      <c r="A132" s="277"/>
      <c r="B132" s="280"/>
      <c r="C132" s="289" t="s">
        <v>33</v>
      </c>
      <c r="D132" s="297"/>
      <c r="E132" s="25">
        <f>IF(F126="Salah isi",0,E126)</f>
        <v>0</v>
      </c>
      <c r="H132" s="29"/>
    </row>
    <row r="133" spans="1:8" ht="15" customHeight="1" x14ac:dyDescent="0.25">
      <c r="A133" s="26"/>
      <c r="B133" s="26"/>
      <c r="C133" s="27"/>
      <c r="D133" s="63"/>
      <c r="E133" s="28"/>
      <c r="H133" s="29"/>
    </row>
    <row r="134" spans="1:8" ht="173.1" customHeight="1" x14ac:dyDescent="0.25">
      <c r="A134" s="275">
        <v>13</v>
      </c>
      <c r="B134" s="278" t="s">
        <v>133</v>
      </c>
      <c r="C134" s="287" t="s">
        <v>134</v>
      </c>
      <c r="D134" s="294"/>
      <c r="E134" s="21"/>
      <c r="F134" s="8" t="str">
        <f>IF(OR(ISBLANK(E134),E134&gt;4),"Salah isi","judge")</f>
        <v>Salah isi</v>
      </c>
      <c r="H134" s="212"/>
    </row>
    <row r="135" spans="1:8" ht="43.5" customHeight="1" x14ac:dyDescent="0.25">
      <c r="A135" s="276"/>
      <c r="B135" s="279"/>
      <c r="C135" s="30">
        <v>4</v>
      </c>
      <c r="D135" s="67" t="s">
        <v>135</v>
      </c>
      <c r="E135" s="31"/>
      <c r="H135" s="29"/>
    </row>
    <row r="136" spans="1:8" ht="43.5" customHeight="1" x14ac:dyDescent="0.25">
      <c r="A136" s="276"/>
      <c r="B136" s="279"/>
      <c r="C136" s="30">
        <v>3</v>
      </c>
      <c r="D136" s="67" t="s">
        <v>136</v>
      </c>
      <c r="E136" s="31"/>
      <c r="H136" s="29"/>
    </row>
    <row r="137" spans="1:8" ht="43.5" customHeight="1" x14ac:dyDescent="0.25">
      <c r="A137" s="276"/>
      <c r="B137" s="279"/>
      <c r="C137" s="30">
        <v>2</v>
      </c>
      <c r="D137" s="67" t="s">
        <v>137</v>
      </c>
      <c r="E137" s="31"/>
      <c r="H137" s="29"/>
    </row>
    <row r="138" spans="1:8" ht="43.5" customHeight="1" x14ac:dyDescent="0.25">
      <c r="A138" s="276"/>
      <c r="B138" s="279"/>
      <c r="C138" s="30">
        <v>1</v>
      </c>
      <c r="D138" s="67" t="s">
        <v>138</v>
      </c>
      <c r="E138" s="31"/>
      <c r="H138" s="29"/>
    </row>
    <row r="139" spans="1:8" ht="30" x14ac:dyDescent="0.25">
      <c r="A139" s="276"/>
      <c r="B139" s="279"/>
      <c r="C139" s="30">
        <v>0</v>
      </c>
      <c r="D139" s="67" t="s">
        <v>139</v>
      </c>
      <c r="E139" s="32"/>
      <c r="H139" s="29"/>
    </row>
    <row r="140" spans="1:8" ht="15" customHeight="1" x14ac:dyDescent="0.25">
      <c r="A140" s="277"/>
      <c r="B140" s="280"/>
      <c r="C140" s="289" t="s">
        <v>33</v>
      </c>
      <c r="D140" s="290"/>
      <c r="E140" s="25">
        <f>IF(F134="Salah isi",0,E134)</f>
        <v>0</v>
      </c>
      <c r="H140" s="29"/>
    </row>
    <row r="141" spans="1:8" ht="15" customHeight="1" x14ac:dyDescent="0.25">
      <c r="A141" s="26"/>
      <c r="B141" s="26"/>
      <c r="C141" s="27"/>
      <c r="D141" s="63"/>
      <c r="E141" s="28"/>
      <c r="H141" s="29"/>
    </row>
    <row r="142" spans="1:8" ht="32.450000000000003" customHeight="1" x14ac:dyDescent="0.25">
      <c r="A142" s="275">
        <v>14</v>
      </c>
      <c r="B142" s="278" t="s">
        <v>140</v>
      </c>
      <c r="C142" s="281" t="s">
        <v>141</v>
      </c>
      <c r="D142" s="281"/>
      <c r="E142" s="114"/>
      <c r="H142" s="212"/>
    </row>
    <row r="143" spans="1:8" ht="43.5" customHeight="1" x14ac:dyDescent="0.25">
      <c r="A143" s="276"/>
      <c r="B143" s="279"/>
      <c r="C143" s="182"/>
      <c r="D143" s="87" t="s">
        <v>142</v>
      </c>
      <c r="E143" s="97" t="s">
        <v>143</v>
      </c>
      <c r="H143" s="29"/>
    </row>
    <row r="144" spans="1:8" ht="32.450000000000003" hidden="1" customHeight="1" x14ac:dyDescent="0.25">
      <c r="A144" s="276"/>
      <c r="B144" s="279"/>
      <c r="C144" s="180"/>
      <c r="D144" s="129" t="s">
        <v>144</v>
      </c>
      <c r="E144" s="93" t="s">
        <v>143</v>
      </c>
      <c r="H144" s="29"/>
    </row>
    <row r="145" spans="1:8" ht="14.45" hidden="1" customHeight="1" x14ac:dyDescent="0.25">
      <c r="A145" s="276"/>
      <c r="B145" s="279"/>
      <c r="C145" s="180"/>
      <c r="D145" s="129" t="s">
        <v>145</v>
      </c>
      <c r="E145" s="93" t="s">
        <v>146</v>
      </c>
      <c r="H145" s="29"/>
    </row>
    <row r="146" spans="1:8" ht="14.45" hidden="1" customHeight="1" x14ac:dyDescent="0.25">
      <c r="A146" s="276"/>
      <c r="B146" s="279"/>
      <c r="C146" s="180"/>
      <c r="D146" s="129"/>
      <c r="E146" s="93"/>
      <c r="H146" s="29"/>
    </row>
    <row r="147" spans="1:8" ht="14.45" hidden="1" customHeight="1" x14ac:dyDescent="0.25">
      <c r="A147" s="276"/>
      <c r="B147" s="279"/>
      <c r="C147" s="180"/>
      <c r="D147" s="181"/>
      <c r="E147" s="103"/>
      <c r="H147" s="29"/>
    </row>
    <row r="148" spans="1:8" ht="32.450000000000003" customHeight="1" x14ac:dyDescent="0.25">
      <c r="A148" s="276"/>
      <c r="B148" s="279"/>
      <c r="C148" s="318" t="s">
        <v>147</v>
      </c>
      <c r="D148" s="327"/>
      <c r="E148" s="184"/>
      <c r="H148" s="29"/>
    </row>
    <row r="149" spans="1:8" x14ac:dyDescent="0.25">
      <c r="A149" s="276"/>
      <c r="B149" s="299"/>
      <c r="C149" s="282" t="s">
        <v>148</v>
      </c>
      <c r="D149" s="283"/>
      <c r="E149" s="57"/>
      <c r="F149" s="8" t="s">
        <v>93</v>
      </c>
      <c r="G149" s="37"/>
      <c r="H149" s="29"/>
    </row>
    <row r="150" spans="1:8" x14ac:dyDescent="0.25">
      <c r="A150" s="276"/>
      <c r="B150" s="299"/>
      <c r="C150" s="282" t="s">
        <v>149</v>
      </c>
      <c r="D150" s="283"/>
      <c r="E150" s="57"/>
      <c r="F150" s="8" t="s">
        <v>93</v>
      </c>
      <c r="G150" s="37"/>
      <c r="H150" s="29"/>
    </row>
    <row r="151" spans="1:8" x14ac:dyDescent="0.25">
      <c r="A151" s="276"/>
      <c r="B151" s="299"/>
      <c r="C151" s="282" t="s">
        <v>150</v>
      </c>
      <c r="D151" s="283"/>
      <c r="E151" s="54">
        <f>IF(E150&gt;0,E149/E150,0)</f>
        <v>0</v>
      </c>
      <c r="G151" s="42"/>
      <c r="H151" s="29"/>
    </row>
    <row r="152" spans="1:8" ht="14.45" hidden="1" customHeight="1" x14ac:dyDescent="0.25">
      <c r="A152" s="276"/>
      <c r="B152" s="299"/>
      <c r="C152" s="143" t="s">
        <v>151</v>
      </c>
      <c r="D152" s="144">
        <v>5</v>
      </c>
      <c r="E152" s="95"/>
      <c r="G152" s="42"/>
      <c r="H152" s="29"/>
    </row>
    <row r="153" spans="1:8" ht="15" customHeight="1" x14ac:dyDescent="0.25">
      <c r="A153" s="276"/>
      <c r="B153" s="299"/>
      <c r="C153" s="322" t="s">
        <v>33</v>
      </c>
      <c r="D153" s="323"/>
      <c r="E153" s="183">
        <f>IF(E151&gt;=D152,4,4/D152*E151)</f>
        <v>0</v>
      </c>
      <c r="G153" s="42"/>
      <c r="H153" s="29"/>
    </row>
    <row r="154" spans="1:8" ht="36" customHeight="1" x14ac:dyDescent="0.25">
      <c r="A154" s="276"/>
      <c r="B154" s="299"/>
      <c r="C154" s="325" t="s">
        <v>152</v>
      </c>
      <c r="D154" s="326"/>
      <c r="E154" s="21">
        <v>0</v>
      </c>
      <c r="F154" s="8" t="str">
        <f>IF(OR(ISBLANK(E154),AND(E154&gt;2,E154&lt;4),AND(E154&gt;0,E154&lt;2),E154&gt;4),"Salah isi","judge")</f>
        <v>judge</v>
      </c>
      <c r="G154" s="42"/>
      <c r="H154" s="29"/>
    </row>
    <row r="155" spans="1:8" x14ac:dyDescent="0.25">
      <c r="A155" s="276"/>
      <c r="B155" s="299"/>
      <c r="C155" s="30">
        <v>4</v>
      </c>
      <c r="D155" s="67" t="s">
        <v>153</v>
      </c>
      <c r="E155" s="88"/>
      <c r="G155" s="42"/>
      <c r="H155" s="29"/>
    </row>
    <row r="156" spans="1:8" x14ac:dyDescent="0.25">
      <c r="A156" s="276"/>
      <c r="B156" s="299"/>
      <c r="C156" s="30">
        <v>3</v>
      </c>
      <c r="D156" s="67" t="s">
        <v>154</v>
      </c>
      <c r="E156" s="88"/>
      <c r="G156" s="42"/>
      <c r="H156" s="29"/>
    </row>
    <row r="157" spans="1:8" x14ac:dyDescent="0.25">
      <c r="A157" s="276"/>
      <c r="B157" s="299"/>
      <c r="C157" s="30">
        <v>2</v>
      </c>
      <c r="D157" s="67" t="s">
        <v>155</v>
      </c>
      <c r="E157" s="88"/>
      <c r="G157" s="42"/>
      <c r="H157" s="29"/>
    </row>
    <row r="158" spans="1:8" x14ac:dyDescent="0.25">
      <c r="A158" s="276"/>
      <c r="B158" s="299"/>
      <c r="C158" s="30">
        <v>1</v>
      </c>
      <c r="D158" s="67" t="s">
        <v>156</v>
      </c>
      <c r="E158" s="88"/>
      <c r="G158" s="42"/>
      <c r="H158" s="29"/>
    </row>
    <row r="159" spans="1:8" ht="15" customHeight="1" x14ac:dyDescent="0.25">
      <c r="A159" s="276"/>
      <c r="B159" s="299"/>
      <c r="C159" s="89">
        <v>0</v>
      </c>
      <c r="D159" s="90" t="s">
        <v>157</v>
      </c>
      <c r="E159" s="185"/>
      <c r="G159" s="42"/>
      <c r="H159" s="29"/>
    </row>
    <row r="160" spans="1:8" ht="15" customHeight="1" x14ac:dyDescent="0.25">
      <c r="A160" s="277"/>
      <c r="B160" s="300"/>
      <c r="C160" s="316" t="s">
        <v>33</v>
      </c>
      <c r="D160" s="317"/>
      <c r="E160" s="186">
        <f>IF(E143="Tinggi",E153,IF(AND(E143="Rendah",F154="Salah Isi"),0,E154))</f>
        <v>0</v>
      </c>
      <c r="G160" s="43"/>
      <c r="H160" s="29"/>
    </row>
    <row r="161" spans="1:8" ht="15" customHeight="1" x14ac:dyDescent="0.25">
      <c r="C161" s="39"/>
      <c r="D161" s="69"/>
      <c r="H161" s="40"/>
    </row>
    <row r="162" spans="1:8" ht="35.450000000000003" customHeight="1" x14ac:dyDescent="0.25">
      <c r="A162" s="275">
        <v>15</v>
      </c>
      <c r="B162" s="278" t="s">
        <v>158</v>
      </c>
      <c r="C162" s="281" t="s">
        <v>159</v>
      </c>
      <c r="D162" s="281"/>
      <c r="E162" s="21"/>
      <c r="F162" s="8" t="str">
        <f>IF(OR(ISBLANK(E162),E162&gt;4),"Salah isi","judge")</f>
        <v>Salah isi</v>
      </c>
      <c r="H162" s="212"/>
    </row>
    <row r="163" spans="1:8" ht="45" customHeight="1" x14ac:dyDescent="0.25">
      <c r="A163" s="276"/>
      <c r="B163" s="279"/>
      <c r="C163" s="30">
        <v>4</v>
      </c>
      <c r="D163" s="67" t="s">
        <v>160</v>
      </c>
      <c r="E163" s="88"/>
      <c r="H163" s="29"/>
    </row>
    <row r="164" spans="1:8" ht="45" customHeight="1" x14ac:dyDescent="0.25">
      <c r="A164" s="276"/>
      <c r="B164" s="279"/>
      <c r="C164" s="30">
        <v>3</v>
      </c>
      <c r="D164" s="67" t="s">
        <v>161</v>
      </c>
      <c r="E164" s="88"/>
      <c r="H164" s="29"/>
    </row>
    <row r="165" spans="1:8" ht="29.1" customHeight="1" x14ac:dyDescent="0.25">
      <c r="A165" s="276"/>
      <c r="B165" s="279"/>
      <c r="C165" s="30">
        <v>2</v>
      </c>
      <c r="D165" s="67" t="s">
        <v>162</v>
      </c>
      <c r="E165" s="88"/>
      <c r="H165" s="29"/>
    </row>
    <row r="166" spans="1:8" ht="29.1" customHeight="1" x14ac:dyDescent="0.25">
      <c r="A166" s="276"/>
      <c r="B166" s="279"/>
      <c r="C166" s="30">
        <v>1</v>
      </c>
      <c r="D166" s="67" t="s">
        <v>163</v>
      </c>
      <c r="E166" s="88"/>
      <c r="H166" s="29"/>
    </row>
    <row r="167" spans="1:8" ht="29.1" customHeight="1" x14ac:dyDescent="0.25">
      <c r="A167" s="276"/>
      <c r="B167" s="279"/>
      <c r="C167" s="89">
        <v>0</v>
      </c>
      <c r="D167" s="90" t="s">
        <v>164</v>
      </c>
      <c r="E167" s="91"/>
      <c r="H167" s="29"/>
    </row>
    <row r="168" spans="1:8" ht="32.450000000000003" customHeight="1" x14ac:dyDescent="0.25">
      <c r="A168" s="276"/>
      <c r="B168" s="279"/>
      <c r="C168" s="324" t="s">
        <v>165</v>
      </c>
      <c r="D168" s="324"/>
      <c r="E168" s="188"/>
      <c r="H168" s="29"/>
    </row>
    <row r="169" spans="1:8" ht="33.6" customHeight="1" x14ac:dyDescent="0.25">
      <c r="A169" s="276"/>
      <c r="B169" s="279"/>
      <c r="C169" s="282" t="s">
        <v>166</v>
      </c>
      <c r="D169" s="283"/>
      <c r="E169" s="98">
        <v>0</v>
      </c>
      <c r="F169" s="8" t="s">
        <v>93</v>
      </c>
      <c r="G169" s="37"/>
      <c r="H169" s="29"/>
    </row>
    <row r="170" spans="1:8" ht="33.6" customHeight="1" x14ac:dyDescent="0.25">
      <c r="A170" s="276"/>
      <c r="B170" s="279"/>
      <c r="C170" s="282" t="s">
        <v>167</v>
      </c>
      <c r="D170" s="283"/>
      <c r="E170" s="98">
        <v>0</v>
      </c>
      <c r="F170" s="8" t="s">
        <v>93</v>
      </c>
      <c r="G170" s="37"/>
      <c r="H170" s="29"/>
    </row>
    <row r="171" spans="1:8" ht="33.6" customHeight="1" x14ac:dyDescent="0.25">
      <c r="A171" s="276"/>
      <c r="B171" s="279"/>
      <c r="C171" s="282" t="s">
        <v>168</v>
      </c>
      <c r="D171" s="283"/>
      <c r="E171" s="98">
        <v>0</v>
      </c>
      <c r="F171" s="8" t="s">
        <v>93</v>
      </c>
      <c r="G171" s="37"/>
      <c r="H171" s="29"/>
    </row>
    <row r="172" spans="1:8" ht="14.45" customHeight="1" x14ac:dyDescent="0.25">
      <c r="A172" s="276"/>
      <c r="B172" s="279"/>
      <c r="C172" s="282" t="s">
        <v>169</v>
      </c>
      <c r="D172" s="283"/>
      <c r="E172" s="190">
        <f>IF(E169&gt;0,(E170+E171)/E169,0)</f>
        <v>0</v>
      </c>
      <c r="G172" s="42"/>
      <c r="H172" s="29"/>
    </row>
    <row r="173" spans="1:8" ht="14.45" hidden="1" customHeight="1" x14ac:dyDescent="0.25">
      <c r="A173" s="276"/>
      <c r="B173" s="279"/>
      <c r="C173" s="143" t="s">
        <v>151</v>
      </c>
      <c r="D173" s="152">
        <v>0.01</v>
      </c>
      <c r="E173" s="95"/>
      <c r="G173" s="42"/>
      <c r="H173" s="29"/>
    </row>
    <row r="174" spans="1:8" ht="15" customHeight="1" x14ac:dyDescent="0.25">
      <c r="A174" s="276"/>
      <c r="B174" s="279"/>
      <c r="C174" s="322" t="s">
        <v>112</v>
      </c>
      <c r="D174" s="323"/>
      <c r="E174" s="189">
        <f>IF(E172&gt;=D173,4,2+2/D173*E172)</f>
        <v>2</v>
      </c>
      <c r="G174" s="42"/>
      <c r="H174" s="29"/>
    </row>
    <row r="175" spans="1:8" ht="15" customHeight="1" x14ac:dyDescent="0.25">
      <c r="A175" s="277"/>
      <c r="B175" s="300"/>
      <c r="C175" s="301" t="s">
        <v>113</v>
      </c>
      <c r="D175" s="302"/>
      <c r="E175" s="25">
        <f>IF(F162="Salah isi",0,(2*E162+E174)/3)</f>
        <v>0</v>
      </c>
      <c r="G175" s="43"/>
      <c r="H175" s="29"/>
    </row>
    <row r="176" spans="1:8" ht="15" customHeight="1" x14ac:dyDescent="0.25">
      <c r="C176" s="39"/>
      <c r="D176" s="69"/>
      <c r="H176" s="40"/>
    </row>
    <row r="177" spans="1:8" ht="80.099999999999994" customHeight="1" x14ac:dyDescent="0.25">
      <c r="A177" s="275">
        <v>16</v>
      </c>
      <c r="B177" s="278" t="s">
        <v>170</v>
      </c>
      <c r="C177" s="287" t="s">
        <v>171</v>
      </c>
      <c r="D177" s="294"/>
      <c r="E177" s="21"/>
      <c r="F177" s="8" t="str">
        <f>IF(OR(ISBLANK(E177),E177&gt;4),"Salah isi","judge")</f>
        <v>Salah isi</v>
      </c>
      <c r="H177" s="212"/>
    </row>
    <row r="178" spans="1:8" ht="43.5" customHeight="1" x14ac:dyDescent="0.25">
      <c r="A178" s="276"/>
      <c r="B178" s="279"/>
      <c r="C178" s="30">
        <v>4</v>
      </c>
      <c r="D178" s="67" t="s">
        <v>172</v>
      </c>
      <c r="E178" s="31"/>
      <c r="H178" s="29"/>
    </row>
    <row r="179" spans="1:8" ht="43.5" customHeight="1" x14ac:dyDescent="0.25">
      <c r="A179" s="276"/>
      <c r="B179" s="279"/>
      <c r="C179" s="30">
        <v>3</v>
      </c>
      <c r="D179" s="67" t="s">
        <v>173</v>
      </c>
      <c r="E179" s="31"/>
      <c r="H179" s="29"/>
    </row>
    <row r="180" spans="1:8" ht="29.1" customHeight="1" x14ac:dyDescent="0.25">
      <c r="A180" s="276"/>
      <c r="B180" s="279"/>
      <c r="C180" s="30">
        <v>2</v>
      </c>
      <c r="D180" s="67" t="s">
        <v>174</v>
      </c>
      <c r="E180" s="31"/>
      <c r="H180" s="29"/>
    </row>
    <row r="181" spans="1:8" ht="29.1" customHeight="1" x14ac:dyDescent="0.25">
      <c r="A181" s="276"/>
      <c r="B181" s="279"/>
      <c r="C181" s="30">
        <v>1</v>
      </c>
      <c r="D181" s="70" t="s">
        <v>175</v>
      </c>
      <c r="E181" s="31"/>
      <c r="H181" s="29"/>
    </row>
    <row r="182" spans="1:8" x14ac:dyDescent="0.25">
      <c r="A182" s="276"/>
      <c r="B182" s="279"/>
      <c r="C182" s="89">
        <v>0</v>
      </c>
      <c r="D182" s="90" t="s">
        <v>176</v>
      </c>
      <c r="E182" s="91"/>
      <c r="H182" s="29"/>
    </row>
    <row r="183" spans="1:8" ht="42" customHeight="1" x14ac:dyDescent="0.25">
      <c r="A183" s="276"/>
      <c r="B183" s="279"/>
      <c r="C183" s="282" t="s">
        <v>177</v>
      </c>
      <c r="D183" s="283"/>
      <c r="E183" s="92"/>
      <c r="F183" s="8" t="str">
        <f>IF(OR(ISBLANK(E183),E183&gt;4),"Salah isi","judge")</f>
        <v>Salah isi</v>
      </c>
      <c r="H183" s="29"/>
    </row>
    <row r="184" spans="1:8" ht="43.5" customHeight="1" x14ac:dyDescent="0.25">
      <c r="A184" s="276"/>
      <c r="B184" s="279"/>
      <c r="C184" s="30">
        <v>4</v>
      </c>
      <c r="D184" s="67" t="s">
        <v>178</v>
      </c>
      <c r="E184" s="31"/>
      <c r="H184" s="29"/>
    </row>
    <row r="185" spans="1:8" ht="43.5" customHeight="1" x14ac:dyDescent="0.25">
      <c r="A185" s="276"/>
      <c r="B185" s="279"/>
      <c r="C185" s="30">
        <v>3</v>
      </c>
      <c r="D185" s="67" t="s">
        <v>179</v>
      </c>
      <c r="E185" s="31"/>
      <c r="H185" s="29"/>
    </row>
    <row r="186" spans="1:8" ht="29.1" customHeight="1" x14ac:dyDescent="0.25">
      <c r="A186" s="276"/>
      <c r="B186" s="279"/>
      <c r="C186" s="30">
        <v>2</v>
      </c>
      <c r="D186" s="67" t="s">
        <v>180</v>
      </c>
      <c r="E186" s="31"/>
      <c r="H186" s="29"/>
    </row>
    <row r="187" spans="1:8" ht="29.1" customHeight="1" x14ac:dyDescent="0.25">
      <c r="A187" s="276"/>
      <c r="B187" s="279"/>
      <c r="C187" s="30">
        <v>1</v>
      </c>
      <c r="D187" s="70" t="s">
        <v>181</v>
      </c>
      <c r="E187" s="31"/>
      <c r="H187" s="29"/>
    </row>
    <row r="188" spans="1:8" x14ac:dyDescent="0.25">
      <c r="A188" s="276"/>
      <c r="B188" s="279"/>
      <c r="C188" s="30">
        <v>0</v>
      </c>
      <c r="D188" s="67" t="s">
        <v>176</v>
      </c>
      <c r="E188" s="32"/>
      <c r="H188" s="29"/>
    </row>
    <row r="189" spans="1:8" ht="15" customHeight="1" x14ac:dyDescent="0.25">
      <c r="A189" s="277"/>
      <c r="B189" s="280"/>
      <c r="C189" s="289" t="s">
        <v>73</v>
      </c>
      <c r="D189" s="290"/>
      <c r="E189" s="25">
        <f>IF(OR(F177="Salah isi",F183="Salah isi"),0,(E177+2*E183)/3)</f>
        <v>0</v>
      </c>
      <c r="H189" s="29"/>
    </row>
    <row r="190" spans="1:8" ht="15" customHeight="1" x14ac:dyDescent="0.25">
      <c r="A190" s="26"/>
      <c r="B190" s="26"/>
      <c r="C190" s="27"/>
      <c r="D190" s="63"/>
      <c r="E190" s="28"/>
      <c r="H190" s="29"/>
    </row>
    <row r="191" spans="1:8" ht="44.45" customHeight="1" x14ac:dyDescent="0.25">
      <c r="A191" s="275">
        <v>17</v>
      </c>
      <c r="B191" s="278" t="s">
        <v>182</v>
      </c>
      <c r="C191" s="281" t="s">
        <v>183</v>
      </c>
      <c r="D191" s="281"/>
      <c r="E191" s="36"/>
      <c r="H191" s="212"/>
    </row>
    <row r="192" spans="1:8" ht="50.1" customHeight="1" x14ac:dyDescent="0.25">
      <c r="A192" s="276"/>
      <c r="B192" s="279"/>
      <c r="C192" s="282" t="s">
        <v>96</v>
      </c>
      <c r="D192" s="283"/>
      <c r="E192" s="57">
        <v>4</v>
      </c>
      <c r="F192" s="8" t="s">
        <v>93</v>
      </c>
      <c r="G192" s="37"/>
      <c r="H192" s="29"/>
    </row>
    <row r="193" spans="1:8" ht="14.45" hidden="1" customHeight="1" x14ac:dyDescent="0.25">
      <c r="A193" s="276"/>
      <c r="B193" s="279"/>
      <c r="C193" s="124" t="s">
        <v>184</v>
      </c>
      <c r="D193" s="125">
        <v>3</v>
      </c>
      <c r="E193" s="154"/>
      <c r="G193" s="37"/>
      <c r="H193" s="29"/>
    </row>
    <row r="194" spans="1:8" ht="14.45" hidden="1" customHeight="1" x14ac:dyDescent="0.25">
      <c r="A194" s="276"/>
      <c r="B194" s="279"/>
      <c r="C194" s="124" t="s">
        <v>185</v>
      </c>
      <c r="D194" s="125">
        <v>6</v>
      </c>
      <c r="E194" s="154"/>
      <c r="G194" s="37"/>
      <c r="H194" s="29"/>
    </row>
    <row r="195" spans="1:8" ht="15" customHeight="1" x14ac:dyDescent="0.25">
      <c r="A195" s="277"/>
      <c r="B195" s="280"/>
      <c r="C195" s="301" t="s">
        <v>33</v>
      </c>
      <c r="D195" s="302"/>
      <c r="E195" s="25">
        <f>IF(E192&gt;=D194,4,IF(E192&gt;=D193,2/(D194-D193)*(E192-D193)+2,0))</f>
        <v>2.6666666666666665</v>
      </c>
      <c r="H195" s="29"/>
    </row>
    <row r="196" spans="1:8" ht="15" customHeight="1" x14ac:dyDescent="0.25">
      <c r="C196" s="39"/>
      <c r="D196" s="69"/>
      <c r="H196" s="40"/>
    </row>
    <row r="197" spans="1:8" ht="41.45" customHeight="1" x14ac:dyDescent="0.25">
      <c r="A197" s="275">
        <v>18</v>
      </c>
      <c r="B197" s="278"/>
      <c r="C197" s="281" t="s">
        <v>186</v>
      </c>
      <c r="D197" s="281"/>
      <c r="E197" s="36"/>
      <c r="H197" s="212"/>
    </row>
    <row r="198" spans="1:8" ht="35.1" customHeight="1" x14ac:dyDescent="0.25">
      <c r="A198" s="276"/>
      <c r="B198" s="279"/>
      <c r="C198" s="282" t="s">
        <v>187</v>
      </c>
      <c r="D198" s="283"/>
      <c r="E198" s="57">
        <v>1</v>
      </c>
      <c r="F198" s="8" t="s">
        <v>93</v>
      </c>
      <c r="G198" s="37"/>
      <c r="H198" s="29"/>
    </row>
    <row r="199" spans="1:8" ht="53.1" customHeight="1" x14ac:dyDescent="0.25">
      <c r="A199" s="276"/>
      <c r="B199" s="279"/>
      <c r="C199" s="282" t="s">
        <v>96</v>
      </c>
      <c r="D199" s="283"/>
      <c r="E199" s="57">
        <v>4</v>
      </c>
      <c r="F199" s="8" t="s">
        <v>93</v>
      </c>
      <c r="G199" s="37"/>
      <c r="H199" s="29"/>
    </row>
    <row r="200" spans="1:8" ht="14.45" customHeight="1" x14ac:dyDescent="0.25">
      <c r="A200" s="276"/>
      <c r="B200" s="279"/>
      <c r="C200" s="282" t="s">
        <v>188</v>
      </c>
      <c r="D200" s="283"/>
      <c r="E200" s="55">
        <f>IF(E199&gt;0,E198/E199,0)</f>
        <v>0.25</v>
      </c>
      <c r="G200" s="42"/>
      <c r="H200" s="29"/>
    </row>
    <row r="201" spans="1:8" ht="14.45" hidden="1" customHeight="1" x14ac:dyDescent="0.25">
      <c r="A201" s="276"/>
      <c r="B201" s="279"/>
      <c r="C201" s="124" t="s">
        <v>151</v>
      </c>
      <c r="D201" s="156">
        <v>0.5</v>
      </c>
      <c r="E201" s="155"/>
      <c r="G201" s="42"/>
      <c r="H201" s="29"/>
    </row>
    <row r="202" spans="1:8" ht="15" customHeight="1" x14ac:dyDescent="0.25">
      <c r="A202" s="277"/>
      <c r="B202" s="280"/>
      <c r="C202" s="301" t="s">
        <v>33</v>
      </c>
      <c r="D202" s="302"/>
      <c r="E202" s="25">
        <f>IF(E200&gt;=D201,4,2+2/D201*E200)</f>
        <v>3</v>
      </c>
      <c r="H202" s="29"/>
    </row>
    <row r="203" spans="1:8" ht="15" customHeight="1" x14ac:dyDescent="0.25">
      <c r="C203" s="39"/>
      <c r="D203" s="69"/>
      <c r="H203" s="40"/>
    </row>
    <row r="204" spans="1:8" ht="43.35" hidden="1" customHeight="1" x14ac:dyDescent="0.25">
      <c r="A204" s="310"/>
      <c r="B204" s="307"/>
      <c r="C204" s="291"/>
      <c r="D204" s="291"/>
      <c r="E204" s="191"/>
      <c r="H204" s="212"/>
    </row>
    <row r="205" spans="1:8" ht="14.45" hidden="1" customHeight="1" x14ac:dyDescent="0.25">
      <c r="A205" s="311"/>
      <c r="B205" s="308"/>
      <c r="C205" s="292"/>
      <c r="D205" s="293"/>
      <c r="E205" s="117"/>
      <c r="G205" s="37"/>
      <c r="H205" s="29"/>
    </row>
    <row r="206" spans="1:8" ht="49.35" hidden="1" customHeight="1" x14ac:dyDescent="0.25">
      <c r="A206" s="311"/>
      <c r="B206" s="308"/>
      <c r="C206" s="292"/>
      <c r="D206" s="293"/>
      <c r="E206" s="117"/>
      <c r="G206" s="37"/>
      <c r="H206" s="29"/>
    </row>
    <row r="207" spans="1:8" ht="15.75" hidden="1" customHeight="1" x14ac:dyDescent="0.25">
      <c r="A207" s="311"/>
      <c r="B207" s="308"/>
      <c r="C207" s="292"/>
      <c r="D207" s="293"/>
      <c r="E207" s="192"/>
      <c r="G207" s="43"/>
      <c r="H207" s="29"/>
    </row>
    <row r="208" spans="1:8" ht="15.75" hidden="1" customHeight="1" x14ac:dyDescent="0.25">
      <c r="A208" s="311"/>
      <c r="B208" s="308"/>
      <c r="C208" s="124"/>
      <c r="D208" s="156"/>
      <c r="E208" s="155"/>
      <c r="G208" s="43"/>
      <c r="H208" s="29"/>
    </row>
    <row r="209" spans="1:8" ht="15" hidden="1" customHeight="1" x14ac:dyDescent="0.25">
      <c r="A209" s="312"/>
      <c r="B209" s="309"/>
      <c r="C209" s="313"/>
      <c r="D209" s="314"/>
      <c r="E209" s="118"/>
      <c r="H209" s="29"/>
    </row>
    <row r="210" spans="1:8" ht="15" hidden="1" customHeight="1" x14ac:dyDescent="0.25">
      <c r="C210" s="39"/>
      <c r="D210" s="69"/>
      <c r="H210" s="40"/>
    </row>
    <row r="211" spans="1:8" ht="33.75" customHeight="1" x14ac:dyDescent="0.25">
      <c r="A211" s="275">
        <v>19</v>
      </c>
      <c r="B211" s="278"/>
      <c r="C211" s="281" t="s">
        <v>189</v>
      </c>
      <c r="D211" s="281"/>
      <c r="E211" s="36"/>
      <c r="H211" s="212"/>
    </row>
    <row r="212" spans="1:8" x14ac:dyDescent="0.25">
      <c r="A212" s="276"/>
      <c r="B212" s="279"/>
      <c r="C212" s="282" t="s">
        <v>190</v>
      </c>
      <c r="D212" s="283"/>
      <c r="E212" s="57">
        <v>0</v>
      </c>
      <c r="F212" s="8" t="s">
        <v>93</v>
      </c>
      <c r="G212" s="37"/>
      <c r="H212" s="29"/>
    </row>
    <row r="213" spans="1:8" x14ac:dyDescent="0.25">
      <c r="A213" s="276"/>
      <c r="B213" s="279"/>
      <c r="C213" s="282" t="s">
        <v>191</v>
      </c>
      <c r="D213" s="283"/>
      <c r="E213" s="57">
        <v>2</v>
      </c>
      <c r="F213" s="8" t="s">
        <v>93</v>
      </c>
      <c r="G213" s="37"/>
      <c r="H213" s="29"/>
    </row>
    <row r="214" spans="1:8" x14ac:dyDescent="0.25">
      <c r="A214" s="276"/>
      <c r="B214" s="279"/>
      <c r="C214" s="282" t="s">
        <v>192</v>
      </c>
      <c r="D214" s="283"/>
      <c r="E214" s="57">
        <v>2</v>
      </c>
      <c r="F214" s="8" t="s">
        <v>93</v>
      </c>
      <c r="G214" s="37"/>
      <c r="H214" s="29"/>
    </row>
    <row r="215" spans="1:8" ht="50.45" customHeight="1" x14ac:dyDescent="0.25">
      <c r="A215" s="276"/>
      <c r="B215" s="279"/>
      <c r="C215" s="282" t="s">
        <v>96</v>
      </c>
      <c r="D215" s="283"/>
      <c r="E215" s="57">
        <v>4</v>
      </c>
      <c r="F215" s="8" t="s">
        <v>93</v>
      </c>
      <c r="G215" s="37"/>
      <c r="H215" s="29"/>
    </row>
    <row r="216" spans="1:8" ht="14.45" customHeight="1" x14ac:dyDescent="0.25">
      <c r="A216" s="276"/>
      <c r="B216" s="279"/>
      <c r="C216" s="282" t="s">
        <v>193</v>
      </c>
      <c r="D216" s="283"/>
      <c r="E216" s="55">
        <f>IF(E215&gt;0,(E212+E213+E214)/E215,0)</f>
        <v>1</v>
      </c>
      <c r="G216" s="42"/>
      <c r="H216" s="29"/>
    </row>
    <row r="217" spans="1:8" ht="14.45" hidden="1" customHeight="1" x14ac:dyDescent="0.25">
      <c r="A217" s="276"/>
      <c r="B217" s="279"/>
      <c r="C217" s="124" t="s">
        <v>151</v>
      </c>
      <c r="D217" s="156">
        <v>0.7</v>
      </c>
      <c r="E217" s="155"/>
      <c r="G217" s="42"/>
      <c r="H217" s="29"/>
    </row>
    <row r="218" spans="1:8" ht="15" customHeight="1" x14ac:dyDescent="0.25">
      <c r="A218" s="277"/>
      <c r="B218" s="280"/>
      <c r="C218" s="301" t="s">
        <v>33</v>
      </c>
      <c r="D218" s="302"/>
      <c r="E218" s="25">
        <f>IF(E216&gt;=D217,4,2+2/D217*E216)</f>
        <v>4</v>
      </c>
      <c r="H218" s="29"/>
    </row>
    <row r="219" spans="1:8" ht="15" customHeight="1" x14ac:dyDescent="0.25">
      <c r="C219" s="39"/>
      <c r="D219" s="69"/>
      <c r="H219" s="40"/>
    </row>
    <row r="220" spans="1:8" ht="43.35" customHeight="1" x14ac:dyDescent="0.25">
      <c r="A220" s="275">
        <v>20</v>
      </c>
      <c r="B220" s="278"/>
      <c r="C220" s="281" t="s">
        <v>194</v>
      </c>
      <c r="D220" s="281"/>
      <c r="E220" s="36"/>
      <c r="H220" s="212"/>
    </row>
    <row r="221" spans="1:8" ht="29.1" customHeight="1" x14ac:dyDescent="0.25">
      <c r="A221" s="276"/>
      <c r="B221" s="279"/>
      <c r="C221" s="142"/>
      <c r="D221" s="87" t="s">
        <v>195</v>
      </c>
      <c r="E221" s="97" t="s">
        <v>196</v>
      </c>
      <c r="H221" s="29"/>
    </row>
    <row r="222" spans="1:8" ht="14.45" hidden="1" customHeight="1" x14ac:dyDescent="0.25">
      <c r="A222" s="276"/>
      <c r="B222" s="279"/>
      <c r="C222" s="128"/>
      <c r="D222" s="129" t="s">
        <v>197</v>
      </c>
      <c r="E222" s="93" t="s">
        <v>196</v>
      </c>
      <c r="H222" s="29"/>
    </row>
    <row r="223" spans="1:8" ht="14.45" hidden="1" customHeight="1" x14ac:dyDescent="0.25">
      <c r="A223" s="276"/>
      <c r="B223" s="279"/>
      <c r="C223" s="128"/>
      <c r="D223" s="129" t="s">
        <v>198</v>
      </c>
      <c r="E223" s="93" t="s">
        <v>199</v>
      </c>
      <c r="H223" s="29"/>
    </row>
    <row r="224" spans="1:8" ht="14.45" hidden="1" customHeight="1" x14ac:dyDescent="0.25">
      <c r="A224" s="276"/>
      <c r="B224" s="279"/>
      <c r="C224" s="128"/>
      <c r="D224" s="129"/>
      <c r="E224" s="93"/>
      <c r="H224" s="29"/>
    </row>
    <row r="225" spans="1:8" ht="14.45" hidden="1" customHeight="1" x14ac:dyDescent="0.25">
      <c r="A225" s="276"/>
      <c r="B225" s="279"/>
      <c r="C225" s="128"/>
      <c r="D225" s="129"/>
      <c r="E225" s="93"/>
      <c r="H225" s="29"/>
    </row>
    <row r="226" spans="1:8" ht="14.45" customHeight="1" x14ac:dyDescent="0.25">
      <c r="A226" s="276"/>
      <c r="B226" s="279"/>
      <c r="C226" s="282" t="s">
        <v>200</v>
      </c>
      <c r="D226" s="283"/>
      <c r="E226" s="57">
        <v>218</v>
      </c>
      <c r="F226" s="8" t="s">
        <v>93</v>
      </c>
      <c r="G226" s="37"/>
      <c r="H226" s="29"/>
    </row>
    <row r="227" spans="1:8" ht="50.1" customHeight="1" x14ac:dyDescent="0.25">
      <c r="A227" s="276"/>
      <c r="B227" s="279"/>
      <c r="C227" s="282" t="s">
        <v>96</v>
      </c>
      <c r="D227" s="283"/>
      <c r="E227" s="57">
        <v>4</v>
      </c>
      <c r="F227" s="8" t="s">
        <v>93</v>
      </c>
      <c r="G227" s="44"/>
      <c r="H227" s="29"/>
    </row>
    <row r="228" spans="1:8" ht="15.75" customHeight="1" x14ac:dyDescent="0.25">
      <c r="A228" s="276"/>
      <c r="B228" s="279"/>
      <c r="C228" s="282" t="s">
        <v>201</v>
      </c>
      <c r="D228" s="283"/>
      <c r="E228" s="54">
        <f>IF(E227&gt;0,E226/E227,0)</f>
        <v>54.5</v>
      </c>
      <c r="G228" s="45"/>
      <c r="H228" s="29"/>
    </row>
    <row r="229" spans="1:8" ht="15.75" hidden="1" customHeight="1" x14ac:dyDescent="0.25">
      <c r="A229" s="276"/>
      <c r="B229" s="279"/>
      <c r="C229" s="315" t="s">
        <v>202</v>
      </c>
      <c r="D229" s="315"/>
      <c r="E229" s="122">
        <f>IF(E228&gt;D232,0,IF(E228&gt;D231,-4/(D232-D231)*(E228-D231)+4,IF(E228&gt;=D230,4,4/D230*E228)))</f>
        <v>0</v>
      </c>
      <c r="G229" s="45"/>
      <c r="H229" s="29"/>
    </row>
    <row r="230" spans="1:8" ht="15.75" hidden="1" customHeight="1" x14ac:dyDescent="0.25">
      <c r="A230" s="276"/>
      <c r="B230" s="279"/>
      <c r="C230" s="145" t="s">
        <v>184</v>
      </c>
      <c r="D230" s="145">
        <v>15</v>
      </c>
      <c r="E230" s="122"/>
      <c r="G230" s="45"/>
      <c r="H230" s="29"/>
    </row>
    <row r="231" spans="1:8" ht="15.75" hidden="1" customHeight="1" x14ac:dyDescent="0.25">
      <c r="A231" s="276"/>
      <c r="B231" s="279"/>
      <c r="C231" s="145" t="s">
        <v>185</v>
      </c>
      <c r="D231" s="145">
        <v>25</v>
      </c>
      <c r="E231" s="122"/>
      <c r="G231" s="45"/>
      <c r="H231" s="29"/>
    </row>
    <row r="232" spans="1:8" ht="15.75" hidden="1" customHeight="1" x14ac:dyDescent="0.25">
      <c r="A232" s="276"/>
      <c r="B232" s="279"/>
      <c r="C232" s="145" t="s">
        <v>203</v>
      </c>
      <c r="D232" s="145">
        <v>35</v>
      </c>
      <c r="E232" s="122"/>
      <c r="G232" s="45"/>
      <c r="H232" s="29"/>
    </row>
    <row r="233" spans="1:8" ht="15.75" hidden="1" customHeight="1" x14ac:dyDescent="0.25">
      <c r="A233" s="276"/>
      <c r="B233" s="279"/>
      <c r="C233" s="315" t="s">
        <v>204</v>
      </c>
      <c r="D233" s="315"/>
      <c r="E233" s="122">
        <f>IF(E228&gt;D236,0,IF(E228&gt;D235,-4/(D236-D235)*(E228-D235)+4,IF(E228&gt;=D234,4,4/D234*E228)))</f>
        <v>0</v>
      </c>
      <c r="G233" s="45"/>
      <c r="H233" s="29"/>
    </row>
    <row r="234" spans="1:8" ht="15.75" hidden="1" customHeight="1" x14ac:dyDescent="0.25">
      <c r="A234" s="276"/>
      <c r="B234" s="279"/>
      <c r="C234" s="124" t="s">
        <v>184</v>
      </c>
      <c r="D234" s="125">
        <v>25</v>
      </c>
      <c r="E234" s="130"/>
      <c r="G234" s="45"/>
      <c r="H234" s="29"/>
    </row>
    <row r="235" spans="1:8" ht="15.75" hidden="1" customHeight="1" x14ac:dyDescent="0.25">
      <c r="A235" s="276"/>
      <c r="B235" s="279"/>
      <c r="C235" s="124" t="s">
        <v>185</v>
      </c>
      <c r="D235" s="125">
        <v>35</v>
      </c>
      <c r="E235" s="130"/>
      <c r="G235" s="45"/>
      <c r="H235" s="29"/>
    </row>
    <row r="236" spans="1:8" ht="15.75" hidden="1" customHeight="1" x14ac:dyDescent="0.25">
      <c r="A236" s="276"/>
      <c r="B236" s="279"/>
      <c r="C236" s="124" t="s">
        <v>203</v>
      </c>
      <c r="D236" s="125">
        <v>50</v>
      </c>
      <c r="E236" s="130"/>
      <c r="G236" s="45"/>
      <c r="H236" s="29"/>
    </row>
    <row r="237" spans="1:8" ht="35.450000000000003" customHeight="1" x14ac:dyDescent="0.25">
      <c r="A237" s="276"/>
      <c r="B237" s="279"/>
      <c r="C237" s="318" t="s">
        <v>205</v>
      </c>
      <c r="D237" s="319"/>
      <c r="E237" s="193" t="str">
        <f>E143</f>
        <v>Tinggi</v>
      </c>
      <c r="G237" s="45"/>
      <c r="H237" s="29"/>
    </row>
    <row r="238" spans="1:8" ht="33.6" customHeight="1" x14ac:dyDescent="0.25">
      <c r="A238" s="276"/>
      <c r="B238" s="279"/>
      <c r="C238" s="301" t="s">
        <v>206</v>
      </c>
      <c r="D238" s="320"/>
      <c r="E238" s="321"/>
      <c r="G238" s="45"/>
      <c r="H238" s="29"/>
    </row>
    <row r="239" spans="1:8" ht="15" customHeight="1" x14ac:dyDescent="0.25">
      <c r="A239" s="277"/>
      <c r="B239" s="280"/>
      <c r="C239" s="316" t="s">
        <v>33</v>
      </c>
      <c r="D239" s="317"/>
      <c r="E239" s="186">
        <f>IF(E237="Tinggi",IF(E221="Saintek",E229,E233),E160)</f>
        <v>0</v>
      </c>
      <c r="G239" s="41"/>
      <c r="H239" s="29"/>
    </row>
    <row r="240" spans="1:8" ht="15" customHeight="1" x14ac:dyDescent="0.25">
      <c r="C240" s="39"/>
      <c r="D240" s="69"/>
      <c r="H240" s="40"/>
    </row>
    <row r="241" spans="1:8" ht="43.35" customHeight="1" x14ac:dyDescent="0.25">
      <c r="A241" s="275">
        <v>21</v>
      </c>
      <c r="B241" s="278"/>
      <c r="C241" s="281" t="s">
        <v>207</v>
      </c>
      <c r="D241" s="281"/>
      <c r="E241" s="36"/>
      <c r="H241" s="212"/>
    </row>
    <row r="242" spans="1:8" ht="33" customHeight="1" x14ac:dyDescent="0.25">
      <c r="A242" s="276"/>
      <c r="B242" s="279"/>
      <c r="C242" s="282" t="s">
        <v>208</v>
      </c>
      <c r="D242" s="283"/>
      <c r="E242" s="57">
        <v>5.3666666666667</v>
      </c>
      <c r="F242" s="8" t="s">
        <v>93</v>
      </c>
      <c r="G242" s="37"/>
      <c r="H242" s="29"/>
    </row>
    <row r="243" spans="1:8" x14ac:dyDescent="0.25">
      <c r="A243" s="276"/>
      <c r="B243" s="279"/>
      <c r="C243" s="282" t="s">
        <v>209</v>
      </c>
      <c r="D243" s="283"/>
      <c r="E243" s="57">
        <v>8</v>
      </c>
      <c r="F243" s="8" t="s">
        <v>93</v>
      </c>
      <c r="G243" s="37"/>
      <c r="H243" s="29"/>
    </row>
    <row r="244" spans="1:8" ht="15.75" customHeight="1" x14ac:dyDescent="0.25">
      <c r="A244" s="276"/>
      <c r="B244" s="279"/>
      <c r="C244" s="282" t="s">
        <v>210</v>
      </c>
      <c r="D244" s="283"/>
      <c r="E244" s="54">
        <f>(E242+E243)/2</f>
        <v>6.6833333333333496</v>
      </c>
      <c r="G244" s="43"/>
      <c r="H244" s="29"/>
    </row>
    <row r="245" spans="1:8" ht="15.75" hidden="1" customHeight="1" x14ac:dyDescent="0.25">
      <c r="A245" s="276"/>
      <c r="B245" s="279"/>
      <c r="C245" s="145" t="s">
        <v>184</v>
      </c>
      <c r="D245" s="145">
        <v>6</v>
      </c>
      <c r="E245" s="122"/>
      <c r="G245" s="45"/>
      <c r="H245" s="29"/>
    </row>
    <row r="246" spans="1:8" ht="15.75" hidden="1" customHeight="1" x14ac:dyDescent="0.25">
      <c r="A246" s="276"/>
      <c r="B246" s="279"/>
      <c r="C246" s="145" t="s">
        <v>185</v>
      </c>
      <c r="D246" s="145">
        <v>10</v>
      </c>
      <c r="E246" s="122"/>
      <c r="G246" s="45"/>
      <c r="H246" s="29"/>
    </row>
    <row r="247" spans="1:8" ht="15" customHeight="1" x14ac:dyDescent="0.25">
      <c r="A247" s="277"/>
      <c r="B247" s="280"/>
      <c r="C247" s="301" t="s">
        <v>33</v>
      </c>
      <c r="D247" s="302"/>
      <c r="E247" s="25">
        <f>IF(E244&gt;D246,0,IF(E244&gt;D245,-2/(D246-D245)*(E244-D245)+4,4))</f>
        <v>3.6583333333333252</v>
      </c>
      <c r="H247" s="29"/>
    </row>
    <row r="248" spans="1:8" ht="15" customHeight="1" x14ac:dyDescent="0.25">
      <c r="C248" s="39"/>
      <c r="D248" s="69"/>
      <c r="H248" s="40"/>
    </row>
    <row r="249" spans="1:8" ht="43.35" customHeight="1" x14ac:dyDescent="0.25">
      <c r="A249" s="275">
        <v>22</v>
      </c>
      <c r="B249" s="278"/>
      <c r="C249" s="281" t="s">
        <v>211</v>
      </c>
      <c r="D249" s="281"/>
      <c r="E249" s="36"/>
      <c r="H249" s="212"/>
    </row>
    <row r="250" spans="1:8" x14ac:dyDescent="0.25">
      <c r="A250" s="276"/>
      <c r="B250" s="279"/>
      <c r="C250" s="282" t="s">
        <v>212</v>
      </c>
      <c r="D250" s="283"/>
      <c r="E250" s="158">
        <v>6.6666666666666998</v>
      </c>
      <c r="F250" s="8" t="s">
        <v>93</v>
      </c>
      <c r="G250" s="37"/>
      <c r="H250" s="29"/>
    </row>
    <row r="251" spans="1:8" x14ac:dyDescent="0.25">
      <c r="A251" s="276"/>
      <c r="B251" s="279"/>
      <c r="C251" s="282" t="s">
        <v>213</v>
      </c>
      <c r="D251" s="283"/>
      <c r="E251" s="158">
        <v>6.6666666666666998</v>
      </c>
      <c r="F251" s="8" t="s">
        <v>93</v>
      </c>
      <c r="G251" s="37"/>
      <c r="H251" s="29"/>
    </row>
    <row r="252" spans="1:8" ht="15.75" customHeight="1" x14ac:dyDescent="0.25">
      <c r="A252" s="276"/>
      <c r="B252" s="279"/>
      <c r="C252" s="282" t="s">
        <v>214</v>
      </c>
      <c r="D252" s="283"/>
      <c r="E252" s="54">
        <f>E251</f>
        <v>6.6666666666666998</v>
      </c>
      <c r="G252" s="43"/>
      <c r="H252" s="29"/>
    </row>
    <row r="253" spans="1:8" ht="15.75" hidden="1" customHeight="1" x14ac:dyDescent="0.25">
      <c r="A253" s="276"/>
      <c r="B253" s="279"/>
      <c r="C253" s="145" t="s">
        <v>184</v>
      </c>
      <c r="D253" s="145">
        <v>6</v>
      </c>
      <c r="E253" s="122"/>
      <c r="G253" s="45"/>
      <c r="H253" s="29"/>
    </row>
    <row r="254" spans="1:8" ht="15.75" hidden="1" customHeight="1" x14ac:dyDescent="0.25">
      <c r="A254" s="276"/>
      <c r="B254" s="279"/>
      <c r="C254" s="145" t="s">
        <v>185</v>
      </c>
      <c r="D254" s="145">
        <v>12</v>
      </c>
      <c r="E254" s="122"/>
      <c r="G254" s="45"/>
      <c r="H254" s="29"/>
    </row>
    <row r="255" spans="1:8" ht="15.75" hidden="1" customHeight="1" x14ac:dyDescent="0.25">
      <c r="A255" s="276"/>
      <c r="B255" s="279"/>
      <c r="C255" s="145" t="s">
        <v>203</v>
      </c>
      <c r="D255" s="145">
        <v>16</v>
      </c>
      <c r="E255" s="122"/>
      <c r="G255" s="45"/>
      <c r="H255" s="29"/>
    </row>
    <row r="256" spans="1:8" ht="15.75" hidden="1" customHeight="1" x14ac:dyDescent="0.25">
      <c r="A256" s="276"/>
      <c r="B256" s="279"/>
      <c r="C256" s="157" t="s">
        <v>215</v>
      </c>
      <c r="D256" s="145">
        <v>18</v>
      </c>
      <c r="E256" s="122"/>
      <c r="G256" s="45"/>
      <c r="H256" s="29"/>
    </row>
    <row r="257" spans="1:8" ht="15" customHeight="1" x14ac:dyDescent="0.25">
      <c r="A257" s="277"/>
      <c r="B257" s="280"/>
      <c r="C257" s="301" t="s">
        <v>33</v>
      </c>
      <c r="D257" s="302"/>
      <c r="E257" s="25">
        <f>IF(E252&gt;D256,0,IF(E252&gt;=D255,-4/(D256-D255)*(E252-D255)+4,IF(E252&gt;=D254,4,IF(E252&gt;=D253,4/(D254-D253)*(E252-D253),0))))</f>
        <v>0.44444444444446651</v>
      </c>
      <c r="H257" s="29"/>
    </row>
    <row r="258" spans="1:8" ht="15" customHeight="1" x14ac:dyDescent="0.25">
      <c r="C258" s="39"/>
      <c r="D258" s="69"/>
      <c r="H258" s="40"/>
    </row>
    <row r="259" spans="1:8" ht="43.35" customHeight="1" x14ac:dyDescent="0.25">
      <c r="A259" s="275">
        <v>23</v>
      </c>
      <c r="B259" s="278"/>
      <c r="C259" s="281" t="s">
        <v>216</v>
      </c>
      <c r="D259" s="281"/>
      <c r="E259" s="36"/>
      <c r="H259" s="212"/>
    </row>
    <row r="260" spans="1:8" ht="32.450000000000003" customHeight="1" x14ac:dyDescent="0.25">
      <c r="A260" s="276"/>
      <c r="B260" s="279"/>
      <c r="C260" s="282" t="s">
        <v>217</v>
      </c>
      <c r="D260" s="283"/>
      <c r="E260" s="57">
        <v>4</v>
      </c>
      <c r="F260" s="8" t="s">
        <v>93</v>
      </c>
      <c r="G260" s="37"/>
      <c r="H260" s="29"/>
    </row>
    <row r="261" spans="1:8" ht="32.1" customHeight="1" x14ac:dyDescent="0.25">
      <c r="A261" s="276"/>
      <c r="B261" s="279"/>
      <c r="C261" s="282" t="s">
        <v>218</v>
      </c>
      <c r="D261" s="283"/>
      <c r="E261" s="57">
        <v>6</v>
      </c>
      <c r="F261" s="8" t="s">
        <v>93</v>
      </c>
      <c r="G261" s="37"/>
      <c r="H261" s="29"/>
    </row>
    <row r="262" spans="1:8" ht="15.75" customHeight="1" x14ac:dyDescent="0.25">
      <c r="A262" s="276"/>
      <c r="B262" s="279"/>
      <c r="C262" s="282" t="s">
        <v>219</v>
      </c>
      <c r="D262" s="283"/>
      <c r="E262" s="55">
        <f>IF((E260+E261)&gt;0,E260/(E260+E261),0)</f>
        <v>0.4</v>
      </c>
      <c r="G262" s="43"/>
      <c r="H262" s="29"/>
    </row>
    <row r="263" spans="1:8" ht="15.75" hidden="1" customHeight="1" x14ac:dyDescent="0.25">
      <c r="A263" s="276"/>
      <c r="B263" s="279"/>
      <c r="C263" s="145" t="s">
        <v>184</v>
      </c>
      <c r="D263" s="159">
        <v>0.1</v>
      </c>
      <c r="E263" s="122"/>
      <c r="G263" s="45"/>
      <c r="H263" s="29"/>
    </row>
    <row r="264" spans="1:8" ht="15.75" hidden="1" customHeight="1" x14ac:dyDescent="0.25">
      <c r="A264" s="276"/>
      <c r="B264" s="279"/>
      <c r="C264" s="145" t="s">
        <v>185</v>
      </c>
      <c r="D264" s="159">
        <v>0.4</v>
      </c>
      <c r="E264" s="122"/>
      <c r="G264" s="45"/>
      <c r="H264" s="29"/>
    </row>
    <row r="265" spans="1:8" ht="15" customHeight="1" x14ac:dyDescent="0.25">
      <c r="A265" s="277"/>
      <c r="B265" s="280"/>
      <c r="C265" s="301" t="s">
        <v>33</v>
      </c>
      <c r="D265" s="302"/>
      <c r="E265" s="25">
        <f>IF(E262&gt;D264,0,IF(E262&gt;D263,-4/(D264-D263)*(E262-D263)+4,4))</f>
        <v>0</v>
      </c>
      <c r="H265" s="29"/>
    </row>
    <row r="266" spans="1:8" ht="15" customHeight="1" x14ac:dyDescent="0.25">
      <c r="C266" s="39"/>
      <c r="D266" s="69"/>
      <c r="H266" s="40"/>
    </row>
    <row r="267" spans="1:8" ht="43.35" hidden="1" customHeight="1" x14ac:dyDescent="0.25">
      <c r="A267" s="310"/>
      <c r="B267" s="307"/>
      <c r="C267" s="291"/>
      <c r="D267" s="291"/>
      <c r="E267" s="191"/>
      <c r="H267" s="212"/>
    </row>
    <row r="268" spans="1:8" ht="32.450000000000003" hidden="1" customHeight="1" x14ac:dyDescent="0.25">
      <c r="A268" s="311"/>
      <c r="B268" s="308"/>
      <c r="C268" s="292"/>
      <c r="D268" s="293"/>
      <c r="E268" s="117"/>
      <c r="G268" s="37"/>
      <c r="H268" s="29"/>
    </row>
    <row r="269" spans="1:8" ht="14.45" hidden="1" customHeight="1" x14ac:dyDescent="0.25">
      <c r="A269" s="311"/>
      <c r="B269" s="308"/>
      <c r="C269" s="292"/>
      <c r="D269" s="293"/>
      <c r="E269" s="117"/>
      <c r="G269" s="37"/>
      <c r="H269" s="29"/>
    </row>
    <row r="270" spans="1:8" ht="15.75" hidden="1" customHeight="1" x14ac:dyDescent="0.25">
      <c r="A270" s="311"/>
      <c r="B270" s="308"/>
      <c r="C270" s="292"/>
      <c r="D270" s="293"/>
      <c r="E270" s="192"/>
      <c r="G270" s="43"/>
      <c r="H270" s="29"/>
    </row>
    <row r="271" spans="1:8" ht="15.75" hidden="1" customHeight="1" x14ac:dyDescent="0.25">
      <c r="A271" s="311"/>
      <c r="B271" s="308"/>
      <c r="C271" s="145"/>
      <c r="D271" s="159"/>
      <c r="E271" s="122"/>
      <c r="G271" s="45"/>
      <c r="H271" s="29"/>
    </row>
    <row r="272" spans="1:8" ht="15" hidden="1" customHeight="1" x14ac:dyDescent="0.25">
      <c r="A272" s="312"/>
      <c r="B272" s="309"/>
      <c r="C272" s="313"/>
      <c r="D272" s="314"/>
      <c r="E272" s="118"/>
      <c r="H272" s="29"/>
    </row>
    <row r="273" spans="1:8" ht="15" hidden="1" customHeight="1" x14ac:dyDescent="0.25">
      <c r="C273" s="39"/>
      <c r="D273" s="69"/>
      <c r="H273" s="40"/>
    </row>
    <row r="274" spans="1:8" ht="209.45" customHeight="1" x14ac:dyDescent="0.25">
      <c r="A274" s="275">
        <v>24</v>
      </c>
      <c r="B274" s="278" t="s">
        <v>220</v>
      </c>
      <c r="C274" s="281" t="s">
        <v>221</v>
      </c>
      <c r="D274" s="281"/>
      <c r="E274" s="36"/>
      <c r="H274" s="212"/>
    </row>
    <row r="275" spans="1:8" ht="32.450000000000003" customHeight="1" x14ac:dyDescent="0.25">
      <c r="A275" s="276"/>
      <c r="B275" s="279"/>
      <c r="C275" s="282" t="s">
        <v>222</v>
      </c>
      <c r="D275" s="283"/>
      <c r="E275" s="57">
        <v>0</v>
      </c>
      <c r="F275" s="8" t="s">
        <v>93</v>
      </c>
      <c r="G275" s="37"/>
      <c r="H275" s="29"/>
    </row>
    <row r="276" spans="1:8" ht="47.1" customHeight="1" x14ac:dyDescent="0.25">
      <c r="A276" s="276"/>
      <c r="B276" s="279"/>
      <c r="C276" s="282" t="s">
        <v>96</v>
      </c>
      <c r="D276" s="283"/>
      <c r="E276" s="57">
        <v>6</v>
      </c>
      <c r="F276" s="8" t="s">
        <v>93</v>
      </c>
      <c r="G276" s="37"/>
      <c r="H276" s="29"/>
    </row>
    <row r="277" spans="1:8" ht="15.75" customHeight="1" x14ac:dyDescent="0.25">
      <c r="A277" s="276"/>
      <c r="B277" s="279"/>
      <c r="C277" s="282" t="s">
        <v>223</v>
      </c>
      <c r="D277" s="283"/>
      <c r="E277" s="54">
        <f>IF(E276&gt;0,E275/E276,0)</f>
        <v>0</v>
      </c>
      <c r="G277" s="43"/>
      <c r="H277" s="29"/>
    </row>
    <row r="278" spans="1:8" ht="15.75" hidden="1" customHeight="1" x14ac:dyDescent="0.25">
      <c r="A278" s="276"/>
      <c r="B278" s="279"/>
      <c r="C278" s="145" t="s">
        <v>151</v>
      </c>
      <c r="D278" s="160">
        <v>0.5</v>
      </c>
      <c r="E278" s="122"/>
      <c r="G278" s="45"/>
      <c r="H278" s="29"/>
    </row>
    <row r="279" spans="1:8" ht="15" customHeight="1" x14ac:dyDescent="0.25">
      <c r="A279" s="277"/>
      <c r="B279" s="280"/>
      <c r="C279" s="301" t="s">
        <v>33</v>
      </c>
      <c r="D279" s="302"/>
      <c r="E279" s="25">
        <f>IF(E277&gt;=D278,4,2+2/D278*E277)</f>
        <v>2</v>
      </c>
      <c r="H279" s="29"/>
    </row>
    <row r="280" spans="1:8" ht="15" customHeight="1" x14ac:dyDescent="0.25">
      <c r="C280" s="39"/>
      <c r="D280" s="69"/>
      <c r="H280" s="40"/>
    </row>
    <row r="281" spans="1:8" ht="48" customHeight="1" x14ac:dyDescent="0.25">
      <c r="A281" s="275">
        <v>25</v>
      </c>
      <c r="B281" s="278"/>
      <c r="C281" s="281" t="s">
        <v>224</v>
      </c>
      <c r="D281" s="281"/>
      <c r="E281" s="46"/>
      <c r="H281" s="212"/>
    </row>
    <row r="282" spans="1:8" ht="31.35" customHeight="1" x14ac:dyDescent="0.25">
      <c r="A282" s="276"/>
      <c r="B282" s="279"/>
      <c r="C282" s="282" t="s">
        <v>225</v>
      </c>
      <c r="D282" s="283"/>
      <c r="E282" s="57">
        <v>0</v>
      </c>
      <c r="F282" s="8" t="s">
        <v>93</v>
      </c>
      <c r="G282" s="37"/>
      <c r="H282" s="29"/>
    </row>
    <row r="283" spans="1:8" ht="32.1" customHeight="1" x14ac:dyDescent="0.25">
      <c r="A283" s="276"/>
      <c r="B283" s="279"/>
      <c r="C283" s="282" t="s">
        <v>226</v>
      </c>
      <c r="D283" s="283"/>
      <c r="E283" s="57">
        <v>0</v>
      </c>
      <c r="F283" s="8" t="s">
        <v>93</v>
      </c>
      <c r="G283" s="37"/>
      <c r="H283" s="29"/>
    </row>
    <row r="284" spans="1:8" x14ac:dyDescent="0.25">
      <c r="A284" s="276"/>
      <c r="B284" s="279"/>
      <c r="C284" s="282" t="s">
        <v>227</v>
      </c>
      <c r="D284" s="283"/>
      <c r="E284" s="57">
        <v>36</v>
      </c>
      <c r="F284" s="8" t="s">
        <v>93</v>
      </c>
      <c r="G284" s="37"/>
      <c r="H284" s="29"/>
    </row>
    <row r="285" spans="1:8" ht="47.45" customHeight="1" x14ac:dyDescent="0.25">
      <c r="A285" s="276"/>
      <c r="B285" s="279"/>
      <c r="C285" s="282" t="s">
        <v>96</v>
      </c>
      <c r="D285" s="283"/>
      <c r="E285" s="57">
        <v>6</v>
      </c>
      <c r="F285" s="8" t="s">
        <v>93</v>
      </c>
      <c r="G285" s="37"/>
      <c r="H285" s="29"/>
    </row>
    <row r="286" spans="1:8" x14ac:dyDescent="0.25">
      <c r="A286" s="276"/>
      <c r="B286" s="279"/>
      <c r="C286" s="282" t="s">
        <v>228</v>
      </c>
      <c r="D286" s="283"/>
      <c r="E286" s="54">
        <f>IF(E285&gt;0,E282/3/E285,0)</f>
        <v>0</v>
      </c>
      <c r="G286" s="41"/>
      <c r="H286" s="29"/>
    </row>
    <row r="287" spans="1:8" ht="15.75" customHeight="1" x14ac:dyDescent="0.25">
      <c r="A287" s="276"/>
      <c r="B287" s="279"/>
      <c r="C287" s="282" t="s">
        <v>229</v>
      </c>
      <c r="D287" s="283"/>
      <c r="E287" s="54">
        <f>IF(E285&gt;0,E283/3/E285,0)</f>
        <v>0</v>
      </c>
      <c r="G287" s="41"/>
      <c r="H287" s="29"/>
    </row>
    <row r="288" spans="1:8" ht="15.75" customHeight="1" x14ac:dyDescent="0.25">
      <c r="A288" s="276"/>
      <c r="B288" s="279"/>
      <c r="C288" s="282" t="s">
        <v>230</v>
      </c>
      <c r="D288" s="283"/>
      <c r="E288" s="54">
        <f>IF(E285&gt;0,E284/3/E285,0)</f>
        <v>2</v>
      </c>
      <c r="G288" s="41"/>
      <c r="H288" s="29"/>
    </row>
    <row r="289" spans="1:8" ht="15.75" hidden="1" customHeight="1" x14ac:dyDescent="0.25">
      <c r="A289" s="276"/>
      <c r="B289" s="279"/>
      <c r="C289" s="145" t="s">
        <v>98</v>
      </c>
      <c r="D289" s="127">
        <v>0.05</v>
      </c>
      <c r="E289" s="122"/>
      <c r="G289" s="41"/>
      <c r="H289" s="29"/>
    </row>
    <row r="290" spans="1:8" ht="15.75" hidden="1" customHeight="1" x14ac:dyDescent="0.25">
      <c r="A290" s="276"/>
      <c r="B290" s="279"/>
      <c r="C290" s="145" t="s">
        <v>99</v>
      </c>
      <c r="D290" s="127">
        <v>0.3</v>
      </c>
      <c r="E290" s="122"/>
      <c r="G290" s="41"/>
      <c r="H290" s="29"/>
    </row>
    <row r="291" spans="1:8" ht="15.75" hidden="1" customHeight="1" x14ac:dyDescent="0.25">
      <c r="A291" s="276"/>
      <c r="B291" s="279"/>
      <c r="C291" s="145" t="s">
        <v>100</v>
      </c>
      <c r="D291" s="127">
        <v>1</v>
      </c>
      <c r="E291" s="122"/>
      <c r="G291" s="41"/>
      <c r="H291" s="29"/>
    </row>
    <row r="292" spans="1:8" ht="15.75" hidden="1" customHeight="1" x14ac:dyDescent="0.25">
      <c r="A292" s="276"/>
      <c r="B292" s="279"/>
      <c r="C292" s="124"/>
      <c r="D292" s="125" t="s">
        <v>231</v>
      </c>
      <c r="E292" s="126" t="str">
        <f>IF(E286&gt;=D289,"YES","NO")</f>
        <v>NO</v>
      </c>
      <c r="G292" s="41"/>
      <c r="H292" s="29"/>
    </row>
    <row r="293" spans="1:8" ht="15.75" hidden="1" customHeight="1" x14ac:dyDescent="0.25">
      <c r="A293" s="276"/>
      <c r="B293" s="279"/>
      <c r="C293" s="124"/>
      <c r="D293" s="125" t="s">
        <v>232</v>
      </c>
      <c r="E293" s="126" t="str">
        <f>IF(AND(E286&lt;D289,E287&gt;=D290),"YES","NO")</f>
        <v>NO</v>
      </c>
      <c r="G293" s="41"/>
      <c r="H293" s="29"/>
    </row>
    <row r="294" spans="1:8" ht="15.75" hidden="1" customHeight="1" x14ac:dyDescent="0.25">
      <c r="A294" s="276"/>
      <c r="B294" s="279"/>
      <c r="C294" s="124"/>
      <c r="D294" s="125" t="s">
        <v>233</v>
      </c>
      <c r="E294" s="126" t="str">
        <f>IF(OR(AND(E286&gt;0,E286&lt;D289,E287=0),AND(E287&gt;0,E287&lt;D290,E286=0),AND(E286&gt;0,E286&lt;D289,E287&gt;0,E287&lt;D290)),"YES","NO")</f>
        <v>NO</v>
      </c>
      <c r="G294" s="41"/>
      <c r="H294" s="29"/>
    </row>
    <row r="295" spans="1:8" ht="15.75" hidden="1" customHeight="1" x14ac:dyDescent="0.25">
      <c r="A295" s="276"/>
      <c r="B295" s="279"/>
      <c r="C295" s="124"/>
      <c r="D295" s="125" t="s">
        <v>234</v>
      </c>
      <c r="E295" s="126" t="str">
        <f>IF(AND(E286=0,E287=0,E288&gt;=D291),"YES","NO")</f>
        <v>YES</v>
      </c>
      <c r="G295" s="41"/>
      <c r="H295" s="29"/>
    </row>
    <row r="296" spans="1:8" ht="15.75" hidden="1" customHeight="1" x14ac:dyDescent="0.25">
      <c r="A296" s="276"/>
      <c r="B296" s="279"/>
      <c r="C296" s="124"/>
      <c r="D296" s="125" t="s">
        <v>235</v>
      </c>
      <c r="E296" s="126" t="str">
        <f>IF(AND(E286=0,E287=0,E288&lt;D291),"YES","NO")</f>
        <v>NO</v>
      </c>
      <c r="G296" s="41"/>
      <c r="H296" s="29"/>
    </row>
    <row r="297" spans="1:8" ht="15" customHeight="1" x14ac:dyDescent="0.25">
      <c r="A297" s="277"/>
      <c r="B297" s="280"/>
      <c r="C297" s="301" t="s">
        <v>33</v>
      </c>
      <c r="D297" s="302"/>
      <c r="E297" s="25">
        <f>IF(E292="YES",4,IF(E293="YES",3+E286/D289,IF(E294="YES",2+2*E286/D289+E287/D290-(E286*E287)/(D289*D290),IF(E295="YES",2,2*E288/D291))))</f>
        <v>2</v>
      </c>
      <c r="G297" s="38"/>
      <c r="H297" s="29"/>
    </row>
    <row r="298" spans="1:8" ht="15" customHeight="1" x14ac:dyDescent="0.25">
      <c r="C298" s="39"/>
      <c r="D298" s="69"/>
      <c r="H298" s="40"/>
    </row>
    <row r="299" spans="1:8" ht="48" customHeight="1" x14ac:dyDescent="0.25">
      <c r="A299" s="275">
        <v>26</v>
      </c>
      <c r="B299" s="278"/>
      <c r="C299" s="281" t="s">
        <v>236</v>
      </c>
      <c r="D299" s="281"/>
      <c r="E299" s="46"/>
      <c r="H299" s="212"/>
    </row>
    <row r="300" spans="1:8" ht="31.35" customHeight="1" x14ac:dyDescent="0.25">
      <c r="A300" s="276"/>
      <c r="B300" s="279"/>
      <c r="C300" s="282" t="s">
        <v>237</v>
      </c>
      <c r="D300" s="283"/>
      <c r="E300" s="57">
        <v>0</v>
      </c>
      <c r="F300" s="8" t="s">
        <v>93</v>
      </c>
      <c r="G300" s="37"/>
      <c r="H300" s="29"/>
    </row>
    <row r="301" spans="1:8" ht="32.1" customHeight="1" x14ac:dyDescent="0.25">
      <c r="A301" s="276"/>
      <c r="B301" s="279"/>
      <c r="C301" s="282" t="s">
        <v>238</v>
      </c>
      <c r="D301" s="283"/>
      <c r="E301" s="57">
        <v>0</v>
      </c>
      <c r="F301" s="8" t="s">
        <v>93</v>
      </c>
      <c r="G301" s="37"/>
      <c r="H301" s="29"/>
    </row>
    <row r="302" spans="1:8" x14ac:dyDescent="0.25">
      <c r="A302" s="276"/>
      <c r="B302" s="279"/>
      <c r="C302" s="282" t="s">
        <v>239</v>
      </c>
      <c r="D302" s="283"/>
      <c r="E302" s="57">
        <v>36</v>
      </c>
      <c r="F302" s="8" t="s">
        <v>93</v>
      </c>
      <c r="G302" s="37"/>
      <c r="H302" s="29"/>
    </row>
    <row r="303" spans="1:8" ht="47.45" customHeight="1" x14ac:dyDescent="0.25">
      <c r="A303" s="276"/>
      <c r="B303" s="279"/>
      <c r="C303" s="282" t="s">
        <v>96</v>
      </c>
      <c r="D303" s="283"/>
      <c r="E303" s="57">
        <v>6</v>
      </c>
      <c r="F303" s="8" t="s">
        <v>93</v>
      </c>
      <c r="G303" s="37"/>
      <c r="H303" s="29"/>
    </row>
    <row r="304" spans="1:8" x14ac:dyDescent="0.25">
      <c r="A304" s="276"/>
      <c r="B304" s="279"/>
      <c r="C304" s="282" t="s">
        <v>228</v>
      </c>
      <c r="D304" s="283"/>
      <c r="E304" s="54">
        <f>IF(E303&gt;0,E300/3/E303,0)</f>
        <v>0</v>
      </c>
      <c r="G304" s="41"/>
      <c r="H304" s="29"/>
    </row>
    <row r="305" spans="1:8" ht="15.75" customHeight="1" x14ac:dyDescent="0.25">
      <c r="A305" s="276"/>
      <c r="B305" s="279"/>
      <c r="C305" s="282" t="s">
        <v>229</v>
      </c>
      <c r="D305" s="283"/>
      <c r="E305" s="54">
        <f>IF(E303&gt;0,E301/3/E303,0)</f>
        <v>0</v>
      </c>
      <c r="G305" s="41"/>
      <c r="H305" s="29"/>
    </row>
    <row r="306" spans="1:8" ht="15.75" customHeight="1" x14ac:dyDescent="0.25">
      <c r="A306" s="276"/>
      <c r="B306" s="279"/>
      <c r="C306" s="282" t="s">
        <v>230</v>
      </c>
      <c r="D306" s="283"/>
      <c r="E306" s="54">
        <f>IF(E303&gt;0,E302/3/E303,0)</f>
        <v>2</v>
      </c>
      <c r="G306" s="41"/>
      <c r="H306" s="29"/>
    </row>
    <row r="307" spans="1:8" ht="15.75" hidden="1" customHeight="1" x14ac:dyDescent="0.25">
      <c r="A307" s="276"/>
      <c r="B307" s="279"/>
      <c r="C307" s="145" t="s">
        <v>98</v>
      </c>
      <c r="D307" s="127">
        <v>0.05</v>
      </c>
      <c r="E307" s="122"/>
      <c r="G307" s="41"/>
      <c r="H307" s="29"/>
    </row>
    <row r="308" spans="1:8" ht="15.75" hidden="1" customHeight="1" x14ac:dyDescent="0.25">
      <c r="A308" s="276"/>
      <c r="B308" s="279"/>
      <c r="C308" s="145" t="s">
        <v>99</v>
      </c>
      <c r="D308" s="127">
        <v>0.3</v>
      </c>
      <c r="E308" s="122"/>
      <c r="G308" s="41"/>
      <c r="H308" s="29"/>
    </row>
    <row r="309" spans="1:8" ht="15.75" hidden="1" customHeight="1" x14ac:dyDescent="0.25">
      <c r="A309" s="276"/>
      <c r="B309" s="279"/>
      <c r="C309" s="145" t="s">
        <v>100</v>
      </c>
      <c r="D309" s="127">
        <v>1</v>
      </c>
      <c r="E309" s="122"/>
      <c r="G309" s="41"/>
      <c r="H309" s="29"/>
    </row>
    <row r="310" spans="1:8" ht="15.75" hidden="1" customHeight="1" x14ac:dyDescent="0.25">
      <c r="A310" s="276"/>
      <c r="B310" s="279"/>
      <c r="C310" s="124"/>
      <c r="D310" s="125" t="s">
        <v>231</v>
      </c>
      <c r="E310" s="126" t="str">
        <f>IF(E304&gt;=D307,"YES","NO")</f>
        <v>NO</v>
      </c>
      <c r="G310" s="41"/>
      <c r="H310" s="29"/>
    </row>
    <row r="311" spans="1:8" ht="15.75" hidden="1" customHeight="1" x14ac:dyDescent="0.25">
      <c r="A311" s="276"/>
      <c r="B311" s="279"/>
      <c r="C311" s="124"/>
      <c r="D311" s="125" t="s">
        <v>232</v>
      </c>
      <c r="E311" s="126" t="str">
        <f>IF(AND(E304&lt;D307,E305&gt;=D308),"YES","NO")</f>
        <v>NO</v>
      </c>
      <c r="G311" s="41"/>
      <c r="H311" s="29"/>
    </row>
    <row r="312" spans="1:8" ht="15.75" hidden="1" customHeight="1" x14ac:dyDescent="0.25">
      <c r="A312" s="276"/>
      <c r="B312" s="279"/>
      <c r="C312" s="124"/>
      <c r="D312" s="125" t="s">
        <v>233</v>
      </c>
      <c r="E312" s="126" t="str">
        <f>IF(OR(AND(E304&gt;0,E304&lt;D307,E305=0),AND(E305&gt;0,E305&lt;D308,E304=0),AND(E304&gt;0,E304&lt;D307,E305&gt;0,E305&lt;D308)),"YES","NO")</f>
        <v>NO</v>
      </c>
      <c r="G312" s="41"/>
      <c r="H312" s="29"/>
    </row>
    <row r="313" spans="1:8" ht="15.75" hidden="1" customHeight="1" x14ac:dyDescent="0.25">
      <c r="A313" s="276"/>
      <c r="B313" s="279"/>
      <c r="C313" s="124"/>
      <c r="D313" s="125" t="s">
        <v>234</v>
      </c>
      <c r="E313" s="126" t="str">
        <f>IF(AND(E304=0,E305=0,E306&gt;=D309),"YES","NO")</f>
        <v>YES</v>
      </c>
      <c r="G313" s="41"/>
      <c r="H313" s="29"/>
    </row>
    <row r="314" spans="1:8" ht="15.75" hidden="1" customHeight="1" x14ac:dyDescent="0.25">
      <c r="A314" s="276"/>
      <c r="B314" s="279"/>
      <c r="C314" s="124"/>
      <c r="D314" s="125" t="s">
        <v>235</v>
      </c>
      <c r="E314" s="126" t="str">
        <f>IF(AND(E304=0,E305=0,E306&lt;D309),"YES","NO")</f>
        <v>NO</v>
      </c>
      <c r="G314" s="41"/>
      <c r="H314" s="29"/>
    </row>
    <row r="315" spans="1:8" ht="15" customHeight="1" x14ac:dyDescent="0.25">
      <c r="A315" s="277"/>
      <c r="B315" s="280"/>
      <c r="C315" s="301" t="s">
        <v>33</v>
      </c>
      <c r="D315" s="302"/>
      <c r="E315" s="25">
        <f>IF(E310="YES",4,IF(E311="YES",3+E304/D307,IF(E312="YES",2+2*E304/D307+E305/D308-(E304*E305)/(D307*D308),IF(E313="YES",2,2*E306/D309))))</f>
        <v>2</v>
      </c>
      <c r="G315" s="38"/>
      <c r="H315" s="29"/>
    </row>
    <row r="316" spans="1:8" ht="15" customHeight="1" x14ac:dyDescent="0.25">
      <c r="C316" s="39"/>
      <c r="D316" s="69"/>
      <c r="H316" s="40"/>
    </row>
    <row r="317" spans="1:8" ht="48" customHeight="1" x14ac:dyDescent="0.25">
      <c r="A317" s="275">
        <v>27</v>
      </c>
      <c r="B317" s="278"/>
      <c r="C317" s="281" t="s">
        <v>240</v>
      </c>
      <c r="D317" s="281"/>
      <c r="E317" s="46"/>
      <c r="H317" s="212"/>
    </row>
    <row r="318" spans="1:8" x14ac:dyDescent="0.25">
      <c r="A318" s="276"/>
      <c r="B318" s="279"/>
      <c r="C318" s="282" t="s">
        <v>241</v>
      </c>
      <c r="D318" s="283"/>
      <c r="E318" s="57">
        <v>16</v>
      </c>
      <c r="F318" s="8" t="s">
        <v>93</v>
      </c>
      <c r="G318" s="37"/>
      <c r="H318" s="29"/>
    </row>
    <row r="319" spans="1:8" x14ac:dyDescent="0.25">
      <c r="A319" s="276"/>
      <c r="B319" s="279"/>
      <c r="C319" s="282" t="s">
        <v>242</v>
      </c>
      <c r="D319" s="283"/>
      <c r="E319" s="57">
        <v>0</v>
      </c>
      <c r="F319" s="8" t="s">
        <v>93</v>
      </c>
      <c r="G319" s="37"/>
      <c r="H319" s="29"/>
    </row>
    <row r="320" spans="1:8" x14ac:dyDescent="0.25">
      <c r="A320" s="276"/>
      <c r="B320" s="279"/>
      <c r="C320" s="282" t="s">
        <v>243</v>
      </c>
      <c r="D320" s="283"/>
      <c r="E320" s="57">
        <v>0</v>
      </c>
      <c r="F320" s="8" t="s">
        <v>93</v>
      </c>
      <c r="G320" s="37"/>
      <c r="H320" s="29"/>
    </row>
    <row r="321" spans="1:8" x14ac:dyDescent="0.25">
      <c r="A321" s="276"/>
      <c r="B321" s="279"/>
      <c r="C321" s="282" t="s">
        <v>244</v>
      </c>
      <c r="D321" s="283"/>
      <c r="E321" s="57">
        <v>0</v>
      </c>
      <c r="F321" s="8" t="s">
        <v>93</v>
      </c>
      <c r="G321" s="37"/>
      <c r="H321" s="29"/>
    </row>
    <row r="322" spans="1:8" x14ac:dyDescent="0.25">
      <c r="A322" s="276"/>
      <c r="B322" s="279"/>
      <c r="C322" s="282" t="s">
        <v>245</v>
      </c>
      <c r="D322" s="283"/>
      <c r="E322" s="57">
        <v>56</v>
      </c>
      <c r="F322" s="8" t="s">
        <v>93</v>
      </c>
      <c r="G322" s="37"/>
      <c r="H322" s="29"/>
    </row>
    <row r="323" spans="1:8" x14ac:dyDescent="0.25">
      <c r="A323" s="276"/>
      <c r="B323" s="279"/>
      <c r="C323" s="282" t="s">
        <v>246</v>
      </c>
      <c r="D323" s="283"/>
      <c r="E323" s="57">
        <v>42</v>
      </c>
      <c r="F323" s="8" t="s">
        <v>93</v>
      </c>
      <c r="G323" s="37"/>
      <c r="H323" s="29"/>
    </row>
    <row r="324" spans="1:8" x14ac:dyDescent="0.25">
      <c r="A324" s="276"/>
      <c r="B324" s="279"/>
      <c r="C324" s="282" t="s">
        <v>247</v>
      </c>
      <c r="D324" s="283"/>
      <c r="E324" s="57">
        <v>35</v>
      </c>
      <c r="F324" s="8" t="s">
        <v>93</v>
      </c>
      <c r="G324" s="37"/>
      <c r="H324" s="29"/>
    </row>
    <row r="325" spans="1:8" ht="14.45" customHeight="1" x14ac:dyDescent="0.25">
      <c r="A325" s="276"/>
      <c r="B325" s="279"/>
      <c r="C325" s="282" t="s">
        <v>248</v>
      </c>
      <c r="D325" s="283"/>
      <c r="E325" s="57">
        <v>0</v>
      </c>
      <c r="F325" s="8" t="s">
        <v>93</v>
      </c>
      <c r="G325" s="37"/>
      <c r="H325" s="29"/>
    </row>
    <row r="326" spans="1:8" ht="14.45" customHeight="1" x14ac:dyDescent="0.25">
      <c r="A326" s="276"/>
      <c r="B326" s="279"/>
      <c r="C326" s="282" t="s">
        <v>249</v>
      </c>
      <c r="D326" s="283"/>
      <c r="E326" s="57">
        <v>0</v>
      </c>
      <c r="F326" s="8" t="s">
        <v>93</v>
      </c>
      <c r="G326" s="37"/>
      <c r="H326" s="29"/>
    </row>
    <row r="327" spans="1:8" ht="14.45" customHeight="1" x14ac:dyDescent="0.25">
      <c r="A327" s="276"/>
      <c r="B327" s="279"/>
      <c r="C327" s="282" t="s">
        <v>250</v>
      </c>
      <c r="D327" s="283"/>
      <c r="E327" s="57">
        <v>0</v>
      </c>
      <c r="F327" s="8" t="s">
        <v>93</v>
      </c>
      <c r="G327" s="37"/>
      <c r="H327" s="29"/>
    </row>
    <row r="328" spans="1:8" ht="47.45" customHeight="1" x14ac:dyDescent="0.25">
      <c r="A328" s="276"/>
      <c r="B328" s="279"/>
      <c r="C328" s="282" t="s">
        <v>96</v>
      </c>
      <c r="D328" s="283"/>
      <c r="E328" s="57">
        <v>6</v>
      </c>
      <c r="F328" s="8" t="s">
        <v>93</v>
      </c>
      <c r="G328" s="37"/>
      <c r="H328" s="29"/>
    </row>
    <row r="329" spans="1:8" x14ac:dyDescent="0.25">
      <c r="A329" s="276"/>
      <c r="B329" s="279"/>
      <c r="C329" s="282" t="s">
        <v>251</v>
      </c>
      <c r="D329" s="283"/>
      <c r="E329" s="54">
        <f>IF(E328&gt;0,(E321+E324+E327)/E328,0)</f>
        <v>5.833333333333333</v>
      </c>
      <c r="G329" s="41"/>
      <c r="H329" s="29"/>
    </row>
    <row r="330" spans="1:8" ht="15.75" customHeight="1" x14ac:dyDescent="0.25">
      <c r="A330" s="276"/>
      <c r="B330" s="279"/>
      <c r="C330" s="282" t="s">
        <v>252</v>
      </c>
      <c r="D330" s="283"/>
      <c r="E330" s="54">
        <f>IF(E328&gt;0,(E319+E320+E323+E326)/E328,0)</f>
        <v>7</v>
      </c>
      <c r="G330" s="41"/>
      <c r="H330" s="29"/>
    </row>
    <row r="331" spans="1:8" ht="15.75" customHeight="1" x14ac:dyDescent="0.25">
      <c r="A331" s="276"/>
      <c r="B331" s="279"/>
      <c r="C331" s="282" t="s">
        <v>253</v>
      </c>
      <c r="D331" s="283"/>
      <c r="E331" s="54">
        <f>IF(E328&gt;0,(E322+E325+E318)/E328,0)</f>
        <v>12</v>
      </c>
      <c r="G331" s="41"/>
      <c r="H331" s="29"/>
    </row>
    <row r="332" spans="1:8" ht="15.75" hidden="1" customHeight="1" x14ac:dyDescent="0.25">
      <c r="A332" s="276"/>
      <c r="B332" s="279"/>
      <c r="C332" s="145" t="s">
        <v>98</v>
      </c>
      <c r="D332" s="127">
        <v>0.1</v>
      </c>
      <c r="E332" s="122"/>
      <c r="G332" s="41"/>
      <c r="H332" s="29"/>
    </row>
    <row r="333" spans="1:8" ht="15.75" hidden="1" customHeight="1" x14ac:dyDescent="0.25">
      <c r="A333" s="276"/>
      <c r="B333" s="279"/>
      <c r="C333" s="145" t="s">
        <v>99</v>
      </c>
      <c r="D333" s="127">
        <v>1</v>
      </c>
      <c r="E333" s="122"/>
      <c r="G333" s="41"/>
      <c r="H333" s="29"/>
    </row>
    <row r="334" spans="1:8" ht="15.75" hidden="1" customHeight="1" x14ac:dyDescent="0.25">
      <c r="A334" s="276"/>
      <c r="B334" s="279"/>
      <c r="C334" s="145" t="s">
        <v>100</v>
      </c>
      <c r="D334" s="127">
        <v>2</v>
      </c>
      <c r="E334" s="122"/>
      <c r="G334" s="41"/>
      <c r="H334" s="29"/>
    </row>
    <row r="335" spans="1:8" ht="15.75" hidden="1" customHeight="1" x14ac:dyDescent="0.25">
      <c r="A335" s="276"/>
      <c r="B335" s="279"/>
      <c r="C335" s="124"/>
      <c r="D335" s="125" t="s">
        <v>231</v>
      </c>
      <c r="E335" s="126" t="str">
        <f>IF(E329&gt;=D332,"YES","NO")</f>
        <v>YES</v>
      </c>
      <c r="G335" s="41"/>
      <c r="H335" s="29"/>
    </row>
    <row r="336" spans="1:8" ht="15.75" hidden="1" customHeight="1" x14ac:dyDescent="0.25">
      <c r="A336" s="276"/>
      <c r="B336" s="279"/>
      <c r="C336" s="124"/>
      <c r="D336" s="125" t="s">
        <v>232</v>
      </c>
      <c r="E336" s="126" t="str">
        <f>IF(AND(E329&lt;D332,E330&gt;=D333),"YES","NO")</f>
        <v>NO</v>
      </c>
      <c r="G336" s="41"/>
      <c r="H336" s="29"/>
    </row>
    <row r="337" spans="1:8" ht="15.75" hidden="1" customHeight="1" x14ac:dyDescent="0.25">
      <c r="A337" s="276"/>
      <c r="B337" s="279"/>
      <c r="C337" s="124"/>
      <c r="D337" s="125" t="s">
        <v>233</v>
      </c>
      <c r="E337" s="126" t="str">
        <f>IF(OR(AND(E329&gt;0,E329&lt;D332,E330=0),AND(E330&gt;0,E330&lt;D333,E329=0),AND(E329&gt;0,E329&lt;D332,E330&gt;0,E330&lt;D333)),"YES","NO")</f>
        <v>NO</v>
      </c>
      <c r="G337" s="41"/>
      <c r="H337" s="29"/>
    </row>
    <row r="338" spans="1:8" ht="15.75" hidden="1" customHeight="1" x14ac:dyDescent="0.25">
      <c r="A338" s="276"/>
      <c r="B338" s="279"/>
      <c r="C338" s="124"/>
      <c r="D338" s="125" t="s">
        <v>234</v>
      </c>
      <c r="E338" s="126" t="str">
        <f>IF(AND(E329=0,E330=0,E331&gt;=D334),"YES","NO")</f>
        <v>NO</v>
      </c>
      <c r="G338" s="41"/>
      <c r="H338" s="29"/>
    </row>
    <row r="339" spans="1:8" ht="15.75" hidden="1" customHeight="1" x14ac:dyDescent="0.25">
      <c r="A339" s="276"/>
      <c r="B339" s="279"/>
      <c r="C339" s="124"/>
      <c r="D339" s="125" t="s">
        <v>235</v>
      </c>
      <c r="E339" s="126" t="str">
        <f>IF(AND(E329=0,E330=0,E331&lt;D334),"YES","NO")</f>
        <v>NO</v>
      </c>
      <c r="G339" s="41"/>
      <c r="H339" s="29"/>
    </row>
    <row r="340" spans="1:8" ht="15" customHeight="1" x14ac:dyDescent="0.25">
      <c r="A340" s="277"/>
      <c r="B340" s="280"/>
      <c r="C340" s="301" t="s">
        <v>33</v>
      </c>
      <c r="D340" s="302"/>
      <c r="E340" s="25">
        <f>IF(E335="YES",4,IF(E336="YES",3+E329/D332,IF(E337="YES",2+2*E329/D332+E330/D333-(E329*E330)/(D332*D333),IF(E338="YES",2,2*E331/D334))))</f>
        <v>4</v>
      </c>
      <c r="G340" s="38"/>
      <c r="H340" s="29"/>
    </row>
    <row r="341" spans="1:8" ht="15" customHeight="1" x14ac:dyDescent="0.25">
      <c r="C341" s="39"/>
      <c r="D341" s="69"/>
      <c r="H341" s="40"/>
    </row>
    <row r="342" spans="1:8" ht="36" customHeight="1" x14ac:dyDescent="0.25">
      <c r="A342" s="275">
        <v>28</v>
      </c>
      <c r="B342" s="278"/>
      <c r="C342" s="281" t="s">
        <v>254</v>
      </c>
      <c r="D342" s="281"/>
      <c r="E342" s="101"/>
      <c r="H342" s="212"/>
    </row>
    <row r="343" spans="1:8" ht="14.45" customHeight="1" x14ac:dyDescent="0.25">
      <c r="A343" s="276"/>
      <c r="B343" s="279"/>
      <c r="C343" s="282" t="s">
        <v>255</v>
      </c>
      <c r="D343" s="283"/>
      <c r="E343" s="98">
        <v>6</v>
      </c>
      <c r="F343" s="8" t="s">
        <v>93</v>
      </c>
      <c r="G343" s="37"/>
      <c r="H343" s="29"/>
    </row>
    <row r="344" spans="1:8" ht="48" customHeight="1" x14ac:dyDescent="0.25">
      <c r="A344" s="276"/>
      <c r="B344" s="279"/>
      <c r="C344" s="282" t="s">
        <v>96</v>
      </c>
      <c r="D344" s="283"/>
      <c r="E344" s="98">
        <v>6</v>
      </c>
      <c r="F344" s="8" t="s">
        <v>93</v>
      </c>
      <c r="G344" s="37"/>
      <c r="H344" s="29"/>
    </row>
    <row r="345" spans="1:8" ht="14.45" customHeight="1" x14ac:dyDescent="0.25">
      <c r="A345" s="276"/>
      <c r="B345" s="279"/>
      <c r="C345" s="282" t="s">
        <v>256</v>
      </c>
      <c r="D345" s="283"/>
      <c r="E345" s="99">
        <f>IF(E344&gt;0,E343/E344,0)</f>
        <v>1</v>
      </c>
      <c r="G345" s="37"/>
      <c r="H345" s="29"/>
    </row>
    <row r="346" spans="1:8" ht="14.45" hidden="1" customHeight="1" x14ac:dyDescent="0.25">
      <c r="A346" s="276"/>
      <c r="B346" s="279"/>
      <c r="C346" s="124" t="s">
        <v>151</v>
      </c>
      <c r="D346" s="125">
        <v>0.5</v>
      </c>
      <c r="E346" s="195"/>
      <c r="G346" s="37"/>
      <c r="H346" s="29"/>
    </row>
    <row r="347" spans="1:8" ht="15" customHeight="1" x14ac:dyDescent="0.25">
      <c r="A347" s="277"/>
      <c r="B347" s="280"/>
      <c r="C347" s="301" t="s">
        <v>33</v>
      </c>
      <c r="D347" s="302"/>
      <c r="E347" s="194">
        <f>IF(E345&gt;=D346,4,2+2/D346*E345)</f>
        <v>4</v>
      </c>
      <c r="G347" s="38"/>
      <c r="H347" s="29"/>
    </row>
    <row r="348" spans="1:8" ht="15" customHeight="1" x14ac:dyDescent="0.25">
      <c r="C348" s="39"/>
      <c r="D348" s="69"/>
      <c r="H348" s="40"/>
    </row>
    <row r="349" spans="1:8" ht="48.6" hidden="1" customHeight="1" x14ac:dyDescent="0.25">
      <c r="A349" s="310"/>
      <c r="B349" s="307"/>
      <c r="C349" s="291"/>
      <c r="D349" s="291"/>
      <c r="E349" s="196"/>
      <c r="H349" s="212"/>
    </row>
    <row r="350" spans="1:8" ht="34.35" hidden="1" customHeight="1" x14ac:dyDescent="0.25">
      <c r="A350" s="311"/>
      <c r="B350" s="308"/>
      <c r="C350" s="292"/>
      <c r="D350" s="293"/>
      <c r="E350" s="197"/>
      <c r="G350" s="37"/>
      <c r="H350" s="29"/>
    </row>
    <row r="351" spans="1:8" ht="48" hidden="1" customHeight="1" x14ac:dyDescent="0.25">
      <c r="A351" s="311"/>
      <c r="B351" s="308"/>
      <c r="C351" s="292"/>
      <c r="D351" s="293"/>
      <c r="E351" s="197"/>
      <c r="G351" s="37"/>
      <c r="H351" s="29"/>
    </row>
    <row r="352" spans="1:8" ht="14.45" hidden="1" customHeight="1" x14ac:dyDescent="0.25">
      <c r="A352" s="311"/>
      <c r="B352" s="308"/>
      <c r="C352" s="292"/>
      <c r="D352" s="293"/>
      <c r="E352" s="187"/>
      <c r="G352" s="37"/>
      <c r="H352" s="29"/>
    </row>
    <row r="353" spans="1:8" ht="15.75" hidden="1" customHeight="1" x14ac:dyDescent="0.25">
      <c r="A353" s="311"/>
      <c r="B353" s="308"/>
      <c r="C353" s="145"/>
      <c r="D353" s="127"/>
      <c r="E353" s="122"/>
      <c r="G353" s="41"/>
      <c r="H353" s="29"/>
    </row>
    <row r="354" spans="1:8" ht="15" hidden="1" customHeight="1" x14ac:dyDescent="0.25">
      <c r="A354" s="312"/>
      <c r="B354" s="309"/>
      <c r="C354" s="313"/>
      <c r="D354" s="314"/>
      <c r="E354" s="118"/>
      <c r="G354" s="38"/>
      <c r="H354" s="29"/>
    </row>
    <row r="355" spans="1:8" ht="15" hidden="1" customHeight="1" x14ac:dyDescent="0.25">
      <c r="C355" s="39"/>
      <c r="D355" s="69"/>
      <c r="H355" s="40"/>
    </row>
    <row r="356" spans="1:8" ht="37.35" customHeight="1" x14ac:dyDescent="0.25">
      <c r="A356" s="275">
        <v>29</v>
      </c>
      <c r="B356" s="278"/>
      <c r="C356" s="281" t="s">
        <v>257</v>
      </c>
      <c r="D356" s="281"/>
      <c r="E356" s="36"/>
      <c r="H356" s="212"/>
    </row>
    <row r="357" spans="1:8" ht="29.25" customHeight="1" x14ac:dyDescent="0.25">
      <c r="A357" s="276"/>
      <c r="B357" s="279"/>
      <c r="C357" s="282" t="s">
        <v>258</v>
      </c>
      <c r="D357" s="283"/>
      <c r="E357" s="57">
        <v>0</v>
      </c>
      <c r="F357" s="8" t="s">
        <v>93</v>
      </c>
      <c r="G357" s="37"/>
      <c r="H357" s="29"/>
    </row>
    <row r="358" spans="1:8" ht="44.25" customHeight="1" x14ac:dyDescent="0.25">
      <c r="A358" s="276"/>
      <c r="B358" s="279"/>
      <c r="C358" s="282" t="s">
        <v>259</v>
      </c>
      <c r="D358" s="283"/>
      <c r="E358" s="57">
        <v>0</v>
      </c>
      <c r="F358" s="8" t="s">
        <v>93</v>
      </c>
      <c r="G358" s="37"/>
      <c r="H358" s="29"/>
    </row>
    <row r="359" spans="1:8" ht="43.5" customHeight="1" x14ac:dyDescent="0.25">
      <c r="A359" s="276"/>
      <c r="B359" s="279"/>
      <c r="C359" s="282" t="s">
        <v>260</v>
      </c>
      <c r="D359" s="283"/>
      <c r="E359" s="57">
        <v>0</v>
      </c>
      <c r="F359" s="8" t="s">
        <v>93</v>
      </c>
      <c r="G359" s="37"/>
      <c r="H359" s="29"/>
    </row>
    <row r="360" spans="1:8" ht="29.25" customHeight="1" x14ac:dyDescent="0.25">
      <c r="A360" s="276"/>
      <c r="B360" s="279"/>
      <c r="C360" s="282" t="s">
        <v>261</v>
      </c>
      <c r="D360" s="283"/>
      <c r="E360" s="57">
        <v>0</v>
      </c>
      <c r="F360" s="8" t="s">
        <v>93</v>
      </c>
      <c r="G360" s="37"/>
      <c r="H360" s="29"/>
    </row>
    <row r="361" spans="1:8" ht="48" customHeight="1" x14ac:dyDescent="0.25">
      <c r="A361" s="276"/>
      <c r="B361" s="279"/>
      <c r="C361" s="282" t="s">
        <v>96</v>
      </c>
      <c r="D361" s="283"/>
      <c r="E361" s="57">
        <v>6</v>
      </c>
      <c r="F361" s="8" t="s">
        <v>93</v>
      </c>
      <c r="G361" s="37"/>
      <c r="H361" s="29"/>
    </row>
    <row r="362" spans="1:8" x14ac:dyDescent="0.25">
      <c r="A362" s="276"/>
      <c r="B362" s="279"/>
      <c r="C362" s="282" t="s">
        <v>262</v>
      </c>
      <c r="D362" s="283"/>
      <c r="E362" s="54">
        <f>IF(E361&gt;0,(2*(E357+E358+E359)+E360)/E361,0)</f>
        <v>0</v>
      </c>
      <c r="G362" s="37"/>
      <c r="H362" s="29"/>
    </row>
    <row r="363" spans="1:8" ht="15.75" hidden="1" customHeight="1" x14ac:dyDescent="0.25">
      <c r="A363" s="276"/>
      <c r="B363" s="279"/>
      <c r="C363" s="145" t="s">
        <v>99</v>
      </c>
      <c r="D363" s="127">
        <v>1</v>
      </c>
      <c r="E363" s="122"/>
      <c r="G363" s="41"/>
      <c r="H363" s="29"/>
    </row>
    <row r="364" spans="1:8" ht="15" customHeight="1" x14ac:dyDescent="0.25">
      <c r="A364" s="277"/>
      <c r="B364" s="280"/>
      <c r="C364" s="301" t="s">
        <v>33</v>
      </c>
      <c r="D364" s="302"/>
      <c r="E364" s="25">
        <f>IF(E362&gt;=D363,4,2+2/D363*E362)</f>
        <v>2</v>
      </c>
      <c r="G364" s="38"/>
      <c r="H364" s="29"/>
    </row>
    <row r="365" spans="1:8" ht="15" customHeight="1" x14ac:dyDescent="0.25">
      <c r="C365" s="39"/>
      <c r="D365" s="69"/>
      <c r="H365" s="40"/>
    </row>
    <row r="366" spans="1:8" ht="50.25" customHeight="1" x14ac:dyDescent="0.25">
      <c r="A366" s="275">
        <v>30</v>
      </c>
      <c r="B366" s="278" t="s">
        <v>263</v>
      </c>
      <c r="C366" s="287" t="s">
        <v>264</v>
      </c>
      <c r="D366" s="288"/>
      <c r="E366" s="21"/>
      <c r="F366" s="8" t="str">
        <f>IF(OR(ISBLANK(E366),E366&gt;4),"Salah isi","judge")</f>
        <v>Salah isi</v>
      </c>
      <c r="H366" s="212"/>
    </row>
    <row r="367" spans="1:8" x14ac:dyDescent="0.25">
      <c r="A367" s="276"/>
      <c r="B367" s="279"/>
      <c r="C367" s="282" t="s">
        <v>265</v>
      </c>
      <c r="D367" s="283"/>
      <c r="E367" s="102">
        <f>AVERAGE(E195,E202,E209,E218,E239,E247,E257,E265,E272)</f>
        <v>1.967063492063494</v>
      </c>
      <c r="H367" s="29"/>
    </row>
    <row r="368" spans="1:8" ht="43.5" customHeight="1" x14ac:dyDescent="0.25">
      <c r="A368" s="276"/>
      <c r="B368" s="279"/>
      <c r="C368" s="22">
        <v>4</v>
      </c>
      <c r="D368" s="61" t="s">
        <v>266</v>
      </c>
      <c r="E368" s="23"/>
      <c r="H368" s="29"/>
    </row>
    <row r="369" spans="1:8" ht="29.1" customHeight="1" x14ac:dyDescent="0.25">
      <c r="A369" s="276"/>
      <c r="B369" s="279"/>
      <c r="C369" s="22">
        <v>3</v>
      </c>
      <c r="D369" s="61" t="s">
        <v>267</v>
      </c>
      <c r="E369" s="23"/>
      <c r="H369" s="29"/>
    </row>
    <row r="370" spans="1:8" ht="29.1" customHeight="1" x14ac:dyDescent="0.25">
      <c r="A370" s="276"/>
      <c r="B370" s="279"/>
      <c r="C370" s="22">
        <v>2</v>
      </c>
      <c r="D370" s="61" t="s">
        <v>268</v>
      </c>
      <c r="E370" s="23"/>
      <c r="H370" s="29"/>
    </row>
    <row r="371" spans="1:8" ht="43.5" customHeight="1" x14ac:dyDescent="0.25">
      <c r="A371" s="276"/>
      <c r="B371" s="279"/>
      <c r="C371" s="22">
        <v>1</v>
      </c>
      <c r="D371" s="61" t="s">
        <v>269</v>
      </c>
      <c r="E371" s="23"/>
      <c r="H371" s="29"/>
    </row>
    <row r="372" spans="1:8" ht="29.1" customHeight="1" x14ac:dyDescent="0.25">
      <c r="A372" s="276"/>
      <c r="B372" s="279"/>
      <c r="C372" s="22">
        <v>0</v>
      </c>
      <c r="D372" s="61" t="s">
        <v>270</v>
      </c>
      <c r="E372" s="24"/>
      <c r="H372" s="29"/>
    </row>
    <row r="373" spans="1:8" ht="15" customHeight="1" x14ac:dyDescent="0.25">
      <c r="A373" s="277"/>
      <c r="B373" s="280"/>
      <c r="C373" s="289" t="s">
        <v>33</v>
      </c>
      <c r="D373" s="290"/>
      <c r="E373" s="25">
        <f>IF(F366="Salah isi",0,IF(E367&gt;=3.5,4,E366))</f>
        <v>0</v>
      </c>
      <c r="H373" s="29"/>
    </row>
    <row r="374" spans="1:8" ht="15" customHeight="1" x14ac:dyDescent="0.25">
      <c r="A374" s="26"/>
      <c r="B374" s="26"/>
      <c r="C374" s="27"/>
      <c r="D374" s="63"/>
      <c r="E374" s="28"/>
      <c r="H374" s="29"/>
    </row>
    <row r="375" spans="1:8" ht="98.1" customHeight="1" x14ac:dyDescent="0.25">
      <c r="A375" s="275">
        <v>31</v>
      </c>
      <c r="B375" s="278" t="s">
        <v>271</v>
      </c>
      <c r="C375" s="287" t="s">
        <v>272</v>
      </c>
      <c r="D375" s="294"/>
      <c r="E375" s="21"/>
      <c r="F375" s="8" t="str">
        <f>IF(OR(ISBLANK(E375),E375&gt;4),"Salah isi","judge")</f>
        <v>Salah isi</v>
      </c>
      <c r="H375" s="212"/>
    </row>
    <row r="376" spans="1:8" ht="57.95" customHeight="1" x14ac:dyDescent="0.25">
      <c r="A376" s="276"/>
      <c r="B376" s="279"/>
      <c r="C376" s="30">
        <v>4</v>
      </c>
      <c r="D376" s="67" t="s">
        <v>273</v>
      </c>
      <c r="E376" s="31"/>
      <c r="H376" s="29"/>
    </row>
    <row r="377" spans="1:8" ht="57.95" customHeight="1" x14ac:dyDescent="0.25">
      <c r="A377" s="276"/>
      <c r="B377" s="279"/>
      <c r="C377" s="30">
        <v>3</v>
      </c>
      <c r="D377" s="67" t="s">
        <v>274</v>
      </c>
      <c r="E377" s="31"/>
      <c r="H377" s="29"/>
    </row>
    <row r="378" spans="1:8" ht="43.5" customHeight="1" x14ac:dyDescent="0.25">
      <c r="A378" s="276"/>
      <c r="B378" s="279"/>
      <c r="C378" s="30">
        <v>2</v>
      </c>
      <c r="D378" s="67" t="s">
        <v>275</v>
      </c>
      <c r="E378" s="31"/>
      <c r="H378" s="29"/>
    </row>
    <row r="379" spans="1:8" ht="43.5" customHeight="1" x14ac:dyDescent="0.25">
      <c r="A379" s="276"/>
      <c r="B379" s="279"/>
      <c r="C379" s="30">
        <v>1</v>
      </c>
      <c r="D379" s="70" t="s">
        <v>276</v>
      </c>
      <c r="E379" s="31"/>
      <c r="H379" s="29"/>
    </row>
    <row r="380" spans="1:8" ht="43.5" customHeight="1" x14ac:dyDescent="0.25">
      <c r="A380" s="276"/>
      <c r="B380" s="279"/>
      <c r="C380" s="89">
        <v>0</v>
      </c>
      <c r="D380" s="90" t="s">
        <v>277</v>
      </c>
      <c r="E380" s="91"/>
      <c r="H380" s="29"/>
    </row>
    <row r="381" spans="1:8" ht="42" customHeight="1" x14ac:dyDescent="0.25">
      <c r="A381" s="276"/>
      <c r="B381" s="279"/>
      <c r="C381" s="282" t="s">
        <v>177</v>
      </c>
      <c r="D381" s="283"/>
      <c r="E381" s="92">
        <v>2</v>
      </c>
      <c r="F381" s="8" t="str">
        <f>IF(OR(ISBLANK(E381),E381&gt;4),"Salah isi","judge")</f>
        <v>judge</v>
      </c>
      <c r="H381" s="29"/>
    </row>
    <row r="382" spans="1:8" ht="43.5" customHeight="1" x14ac:dyDescent="0.25">
      <c r="A382" s="276"/>
      <c r="B382" s="279"/>
      <c r="C382" s="30">
        <v>4</v>
      </c>
      <c r="D382" s="67" t="s">
        <v>178</v>
      </c>
      <c r="E382" s="31"/>
      <c r="H382" s="29"/>
    </row>
    <row r="383" spans="1:8" ht="43.5" customHeight="1" x14ac:dyDescent="0.25">
      <c r="A383" s="276"/>
      <c r="B383" s="279"/>
      <c r="C383" s="30">
        <v>3</v>
      </c>
      <c r="D383" s="67" t="s">
        <v>179</v>
      </c>
      <c r="E383" s="31"/>
      <c r="H383" s="29"/>
    </row>
    <row r="384" spans="1:8" ht="29.1" customHeight="1" x14ac:dyDescent="0.25">
      <c r="A384" s="276"/>
      <c r="B384" s="279"/>
      <c r="C384" s="30">
        <v>2</v>
      </c>
      <c r="D384" s="67" t="s">
        <v>180</v>
      </c>
      <c r="E384" s="31"/>
      <c r="H384" s="29"/>
    </row>
    <row r="385" spans="1:8" ht="29.1" customHeight="1" x14ac:dyDescent="0.25">
      <c r="A385" s="276"/>
      <c r="B385" s="279"/>
      <c r="C385" s="30">
        <v>1</v>
      </c>
      <c r="D385" s="70" t="s">
        <v>181</v>
      </c>
      <c r="E385" s="31"/>
      <c r="H385" s="29"/>
    </row>
    <row r="386" spans="1:8" x14ac:dyDescent="0.25">
      <c r="A386" s="276"/>
      <c r="B386" s="279"/>
      <c r="C386" s="30">
        <v>0</v>
      </c>
      <c r="D386" s="67" t="s">
        <v>176</v>
      </c>
      <c r="E386" s="32"/>
      <c r="H386" s="29"/>
    </row>
    <row r="387" spans="1:8" ht="15" customHeight="1" x14ac:dyDescent="0.25">
      <c r="A387" s="277"/>
      <c r="B387" s="280"/>
      <c r="C387" s="289" t="s">
        <v>73</v>
      </c>
      <c r="D387" s="290"/>
      <c r="E387" s="25">
        <f>IF(OR(F375="Salah isi",F381="Salah isi"),0,(E375+2*E381)/3)</f>
        <v>0</v>
      </c>
      <c r="H387" s="29"/>
    </row>
    <row r="388" spans="1:8" ht="15" customHeight="1" x14ac:dyDescent="0.25">
      <c r="A388" s="26"/>
      <c r="B388" s="26"/>
      <c r="C388" s="27"/>
      <c r="D388" s="63"/>
      <c r="E388" s="28"/>
      <c r="H388" s="29"/>
    </row>
    <row r="389" spans="1:8" ht="45" customHeight="1" x14ac:dyDescent="0.25">
      <c r="A389" s="275">
        <v>32</v>
      </c>
      <c r="B389" s="278" t="s">
        <v>278</v>
      </c>
      <c r="C389" s="281" t="s">
        <v>279</v>
      </c>
      <c r="D389" s="281"/>
      <c r="E389" s="46"/>
      <c r="H389" s="212"/>
    </row>
    <row r="390" spans="1:8" ht="21.6" customHeight="1" x14ac:dyDescent="0.25">
      <c r="A390" s="276"/>
      <c r="B390" s="279"/>
      <c r="C390" s="282" t="s">
        <v>280</v>
      </c>
      <c r="D390" s="283"/>
      <c r="E390" s="163">
        <v>204419000</v>
      </c>
      <c r="F390" s="8" t="s">
        <v>93</v>
      </c>
      <c r="G390" s="37"/>
      <c r="H390" s="29"/>
    </row>
    <row r="391" spans="1:8" ht="23.45" customHeight="1" x14ac:dyDescent="0.25">
      <c r="A391" s="276"/>
      <c r="B391" s="279"/>
      <c r="C391" s="282" t="s">
        <v>281</v>
      </c>
      <c r="D391" s="283"/>
      <c r="E391" s="57">
        <v>218</v>
      </c>
      <c r="F391" s="8" t="s">
        <v>93</v>
      </c>
      <c r="G391" s="37"/>
      <c r="H391" s="29"/>
    </row>
    <row r="392" spans="1:8" ht="32.450000000000003" customHeight="1" x14ac:dyDescent="0.25">
      <c r="A392" s="276"/>
      <c r="B392" s="279"/>
      <c r="C392" s="282" t="s">
        <v>282</v>
      </c>
      <c r="D392" s="283"/>
      <c r="E392" s="162">
        <f>IF(E391&gt;0,E390/3/E391,0)</f>
        <v>312567.27828746178</v>
      </c>
      <c r="G392" s="43"/>
      <c r="H392" s="29"/>
    </row>
    <row r="393" spans="1:8" ht="14.45" hidden="1" customHeight="1" x14ac:dyDescent="0.25">
      <c r="A393" s="276"/>
      <c r="B393" s="279"/>
      <c r="C393" s="124" t="s">
        <v>151</v>
      </c>
      <c r="D393" s="125">
        <v>20000000</v>
      </c>
      <c r="E393" s="161"/>
      <c r="G393" s="43"/>
      <c r="H393" s="29"/>
    </row>
    <row r="394" spans="1:8" ht="15" customHeight="1" x14ac:dyDescent="0.25">
      <c r="A394" s="277"/>
      <c r="B394" s="280"/>
      <c r="C394" s="301" t="s">
        <v>33</v>
      </c>
      <c r="D394" s="302"/>
      <c r="E394" s="25">
        <f>IF(E392&gt;=D393,4,4/D393*E392)</f>
        <v>6.2513455657492348E-2</v>
      </c>
      <c r="H394" s="29"/>
    </row>
    <row r="395" spans="1:8" ht="15" customHeight="1" x14ac:dyDescent="0.25">
      <c r="C395" s="39"/>
      <c r="D395" s="69"/>
      <c r="H395" s="39"/>
    </row>
    <row r="396" spans="1:8" ht="31.35" customHeight="1" x14ac:dyDescent="0.25">
      <c r="A396" s="275">
        <v>33</v>
      </c>
      <c r="B396" s="298"/>
      <c r="C396" s="281" t="s">
        <v>283</v>
      </c>
      <c r="D396" s="281"/>
      <c r="E396" s="46"/>
      <c r="H396" s="212"/>
    </row>
    <row r="397" spans="1:8" ht="31.5" customHeight="1" x14ac:dyDescent="0.25">
      <c r="A397" s="276"/>
      <c r="B397" s="299"/>
      <c r="C397" s="282" t="s">
        <v>284</v>
      </c>
      <c r="D397" s="283"/>
      <c r="E397" s="163">
        <v>18000000</v>
      </c>
      <c r="F397" s="8" t="s">
        <v>93</v>
      </c>
      <c r="G397" s="37"/>
      <c r="H397" s="29"/>
    </row>
    <row r="398" spans="1:8" ht="48" customHeight="1" x14ac:dyDescent="0.25">
      <c r="A398" s="276"/>
      <c r="B398" s="299"/>
      <c r="C398" s="282" t="s">
        <v>96</v>
      </c>
      <c r="D398" s="283"/>
      <c r="E398" s="57">
        <v>6</v>
      </c>
      <c r="F398" s="8" t="s">
        <v>93</v>
      </c>
      <c r="G398" s="37"/>
      <c r="H398" s="29"/>
    </row>
    <row r="399" spans="1:8" ht="36" customHeight="1" x14ac:dyDescent="0.25">
      <c r="A399" s="276"/>
      <c r="B399" s="299"/>
      <c r="C399" s="282" t="s">
        <v>285</v>
      </c>
      <c r="D399" s="283"/>
      <c r="E399" s="162">
        <f>IF(E398&gt;0,E397/3/E398,0)</f>
        <v>1000000</v>
      </c>
      <c r="G399" s="43"/>
      <c r="H399" s="29"/>
    </row>
    <row r="400" spans="1:8" ht="14.45" hidden="1" customHeight="1" x14ac:dyDescent="0.25">
      <c r="A400" s="276"/>
      <c r="B400" s="299"/>
      <c r="C400" s="124" t="s">
        <v>151</v>
      </c>
      <c r="D400" s="125">
        <v>10000000</v>
      </c>
      <c r="E400" s="161"/>
      <c r="G400" s="43"/>
      <c r="H400" s="29"/>
    </row>
    <row r="401" spans="1:8" ht="15" customHeight="1" x14ac:dyDescent="0.25">
      <c r="A401" s="277"/>
      <c r="B401" s="300"/>
      <c r="C401" s="301" t="s">
        <v>33</v>
      </c>
      <c r="D401" s="302"/>
      <c r="E401" s="25">
        <f>IF(E399&gt;=D400,4,4/D400*E399)</f>
        <v>0.39999999999999997</v>
      </c>
      <c r="H401" s="29"/>
    </row>
    <row r="402" spans="1:8" ht="15" customHeight="1" x14ac:dyDescent="0.25">
      <c r="C402" s="39"/>
      <c r="D402" s="69"/>
      <c r="H402" s="39"/>
    </row>
    <row r="403" spans="1:8" ht="42.75" customHeight="1" x14ac:dyDescent="0.25">
      <c r="A403" s="275">
        <v>34</v>
      </c>
      <c r="B403" s="298"/>
      <c r="C403" s="281" t="s">
        <v>286</v>
      </c>
      <c r="D403" s="281"/>
      <c r="E403" s="46"/>
      <c r="H403" s="212"/>
    </row>
    <row r="404" spans="1:8" ht="31.5" customHeight="1" x14ac:dyDescent="0.25">
      <c r="A404" s="276"/>
      <c r="B404" s="299"/>
      <c r="C404" s="282" t="s">
        <v>287</v>
      </c>
      <c r="D404" s="283"/>
      <c r="E404" s="163">
        <v>22888889</v>
      </c>
      <c r="F404" s="8" t="s">
        <v>93</v>
      </c>
      <c r="G404" s="37"/>
      <c r="H404" s="29"/>
    </row>
    <row r="405" spans="1:8" ht="50.1" customHeight="1" x14ac:dyDescent="0.25">
      <c r="A405" s="276"/>
      <c r="B405" s="299"/>
      <c r="C405" s="282" t="s">
        <v>96</v>
      </c>
      <c r="D405" s="283"/>
      <c r="E405" s="57">
        <v>6</v>
      </c>
      <c r="F405" s="8" t="s">
        <v>93</v>
      </c>
      <c r="G405" s="37"/>
      <c r="H405" s="29"/>
    </row>
    <row r="406" spans="1:8" ht="33" customHeight="1" x14ac:dyDescent="0.25">
      <c r="A406" s="276"/>
      <c r="B406" s="299"/>
      <c r="C406" s="282" t="s">
        <v>288</v>
      </c>
      <c r="D406" s="283"/>
      <c r="E406" s="162">
        <f>IF(E405&gt;0,E404/3/E405,0)</f>
        <v>1271604.9444444445</v>
      </c>
      <c r="G406" s="43"/>
      <c r="H406" s="29"/>
    </row>
    <row r="407" spans="1:8" ht="14.45" hidden="1" customHeight="1" x14ac:dyDescent="0.25">
      <c r="A407" s="276"/>
      <c r="B407" s="299"/>
      <c r="C407" s="124" t="s">
        <v>151</v>
      </c>
      <c r="D407" s="125">
        <v>5000000</v>
      </c>
      <c r="E407" s="161"/>
      <c r="G407" s="43"/>
      <c r="H407" s="29"/>
    </row>
    <row r="408" spans="1:8" ht="15" customHeight="1" x14ac:dyDescent="0.25">
      <c r="A408" s="277"/>
      <c r="B408" s="300"/>
      <c r="C408" s="301" t="s">
        <v>33</v>
      </c>
      <c r="D408" s="302"/>
      <c r="E408" s="25">
        <f>IF(E406&gt;=D407,4,4/D407*E406)</f>
        <v>1.0172839555555555</v>
      </c>
      <c r="H408" s="29"/>
    </row>
    <row r="409" spans="1:8" ht="15" customHeight="1" x14ac:dyDescent="0.25">
      <c r="C409" s="39"/>
      <c r="D409" s="69"/>
      <c r="H409" s="39"/>
    </row>
    <row r="410" spans="1:8" ht="68.099999999999994" customHeight="1" x14ac:dyDescent="0.25">
      <c r="A410" s="275">
        <v>35</v>
      </c>
      <c r="B410" s="278"/>
      <c r="C410" s="287" t="s">
        <v>289</v>
      </c>
      <c r="D410" s="288"/>
      <c r="E410" s="21"/>
      <c r="F410" s="8" t="str">
        <f>IF(OR(ISBLANK(E410),E410&gt;4),"Salah isi","judge")</f>
        <v>Salah isi</v>
      </c>
      <c r="H410" s="212"/>
    </row>
    <row r="411" spans="1:8" x14ac:dyDescent="0.25">
      <c r="A411" s="276"/>
      <c r="B411" s="279"/>
      <c r="C411" s="282" t="s">
        <v>290</v>
      </c>
      <c r="D411" s="283"/>
      <c r="E411" s="102">
        <f>AVERAGE(E195,E202,E209,E218,E239,E247,E257,E265,E272)</f>
        <v>1.967063492063494</v>
      </c>
      <c r="H411" s="29"/>
    </row>
    <row r="412" spans="1:8" ht="57.95" customHeight="1" x14ac:dyDescent="0.25">
      <c r="A412" s="276"/>
      <c r="B412" s="279"/>
      <c r="C412" s="22">
        <v>4</v>
      </c>
      <c r="D412" s="61" t="s">
        <v>291</v>
      </c>
      <c r="E412" s="23"/>
      <c r="H412" s="29"/>
    </row>
    <row r="413" spans="1:8" ht="43.5" customHeight="1" x14ac:dyDescent="0.25">
      <c r="A413" s="276"/>
      <c r="B413" s="279"/>
      <c r="C413" s="22">
        <v>3</v>
      </c>
      <c r="D413" s="61" t="s">
        <v>292</v>
      </c>
      <c r="E413" s="23"/>
      <c r="H413" s="29"/>
    </row>
    <row r="414" spans="1:8" ht="57.95" customHeight="1" x14ac:dyDescent="0.25">
      <c r="A414" s="276"/>
      <c r="B414" s="279"/>
      <c r="C414" s="22">
        <v>2</v>
      </c>
      <c r="D414" s="61" t="s">
        <v>293</v>
      </c>
      <c r="E414" s="23"/>
      <c r="H414" s="29"/>
    </row>
    <row r="415" spans="1:8" ht="29.1" customHeight="1" x14ac:dyDescent="0.25">
      <c r="A415" s="276"/>
      <c r="B415" s="279"/>
      <c r="C415" s="22">
        <v>1</v>
      </c>
      <c r="D415" s="61" t="s">
        <v>294</v>
      </c>
      <c r="E415" s="23"/>
      <c r="H415" s="29"/>
    </row>
    <row r="416" spans="1:8" ht="29.1" customHeight="1" x14ac:dyDescent="0.25">
      <c r="A416" s="276"/>
      <c r="B416" s="279"/>
      <c r="C416" s="22">
        <v>0</v>
      </c>
      <c r="D416" s="61" t="s">
        <v>295</v>
      </c>
      <c r="E416" s="24"/>
      <c r="H416" s="29"/>
    </row>
    <row r="417" spans="1:8" ht="15" customHeight="1" x14ac:dyDescent="0.25">
      <c r="A417" s="277"/>
      <c r="B417" s="280"/>
      <c r="C417" s="289" t="s">
        <v>33</v>
      </c>
      <c r="D417" s="290"/>
      <c r="E417" s="25">
        <f>IF(F410="Salah isi",0,IF(E411&gt;=3.5,4,E410))</f>
        <v>0</v>
      </c>
      <c r="H417" s="29"/>
    </row>
    <row r="418" spans="1:8" ht="15" customHeight="1" x14ac:dyDescent="0.25">
      <c r="A418" s="26"/>
      <c r="B418" s="26"/>
      <c r="C418" s="27"/>
      <c r="D418" s="63"/>
      <c r="E418" s="28"/>
      <c r="H418" s="29"/>
    </row>
    <row r="419" spans="1:8" ht="32.1" customHeight="1" x14ac:dyDescent="0.25">
      <c r="A419" s="275">
        <v>36</v>
      </c>
      <c r="B419" s="278"/>
      <c r="C419" s="287" t="s">
        <v>296</v>
      </c>
      <c r="D419" s="288"/>
      <c r="E419" s="21"/>
      <c r="F419" s="8" t="str">
        <f>IF(OR(ISBLANK(E419),E419&gt;4),"Salah isi","judge")</f>
        <v>Salah isi</v>
      </c>
      <c r="H419" s="212"/>
    </row>
    <row r="420" spans="1:8" ht="57.95" customHeight="1" x14ac:dyDescent="0.25">
      <c r="A420" s="276"/>
      <c r="B420" s="279"/>
      <c r="C420" s="22">
        <v>4</v>
      </c>
      <c r="D420" s="61" t="s">
        <v>297</v>
      </c>
      <c r="E420" s="23"/>
      <c r="H420" s="29"/>
    </row>
    <row r="421" spans="1:8" ht="29.1" customHeight="1" x14ac:dyDescent="0.25">
      <c r="A421" s="276"/>
      <c r="B421" s="279"/>
      <c r="C421" s="22">
        <v>3</v>
      </c>
      <c r="D421" s="61" t="s">
        <v>298</v>
      </c>
      <c r="E421" s="23"/>
      <c r="H421" s="29"/>
    </row>
    <row r="422" spans="1:8" ht="29.1" customHeight="1" x14ac:dyDescent="0.25">
      <c r="A422" s="276"/>
      <c r="B422" s="279"/>
      <c r="C422" s="22">
        <v>2</v>
      </c>
      <c r="D422" s="61" t="s">
        <v>299</v>
      </c>
      <c r="E422" s="23"/>
      <c r="H422" s="29"/>
    </row>
    <row r="423" spans="1:8" ht="29.1" customHeight="1" x14ac:dyDescent="0.25">
      <c r="A423" s="276"/>
      <c r="B423" s="279"/>
      <c r="C423" s="22">
        <v>1</v>
      </c>
      <c r="D423" s="61" t="s">
        <v>300</v>
      </c>
      <c r="E423" s="23"/>
      <c r="H423" s="29"/>
    </row>
    <row r="424" spans="1:8" x14ac:dyDescent="0.25">
      <c r="A424" s="276"/>
      <c r="B424" s="279"/>
      <c r="C424" s="22">
        <v>0</v>
      </c>
      <c r="D424" s="61" t="s">
        <v>301</v>
      </c>
      <c r="E424" s="24"/>
      <c r="H424" s="29"/>
    </row>
    <row r="425" spans="1:8" ht="15" customHeight="1" x14ac:dyDescent="0.25">
      <c r="A425" s="277"/>
      <c r="B425" s="280"/>
      <c r="C425" s="289" t="s">
        <v>33</v>
      </c>
      <c r="D425" s="290"/>
      <c r="E425" s="25">
        <f>IF(F419="Salah isi",0,E419)</f>
        <v>0</v>
      </c>
      <c r="H425" s="29"/>
    </row>
    <row r="426" spans="1:8" ht="15" customHeight="1" x14ac:dyDescent="0.25">
      <c r="A426" s="26"/>
      <c r="B426" s="26"/>
      <c r="C426" s="27"/>
      <c r="D426" s="63"/>
      <c r="E426" s="28"/>
      <c r="H426" s="29"/>
    </row>
    <row r="427" spans="1:8" ht="41.45" customHeight="1" x14ac:dyDescent="0.25">
      <c r="A427" s="275">
        <v>37</v>
      </c>
      <c r="B427" s="278" t="s">
        <v>302</v>
      </c>
      <c r="C427" s="287" t="s">
        <v>303</v>
      </c>
      <c r="D427" s="288"/>
      <c r="E427" s="21"/>
      <c r="F427" s="8" t="str">
        <f>IF(OR(ISBLANK(E427),E427&gt;4),"Salah isi","judge")</f>
        <v>Salah isi</v>
      </c>
      <c r="H427" s="212"/>
    </row>
    <row r="428" spans="1:8" ht="43.5" customHeight="1" x14ac:dyDescent="0.25">
      <c r="A428" s="276"/>
      <c r="B428" s="279"/>
      <c r="C428" s="22">
        <v>4</v>
      </c>
      <c r="D428" s="61" t="s">
        <v>304</v>
      </c>
      <c r="E428" s="23"/>
      <c r="H428" s="29"/>
    </row>
    <row r="429" spans="1:8" ht="43.5" customHeight="1" x14ac:dyDescent="0.25">
      <c r="A429" s="276"/>
      <c r="B429" s="279"/>
      <c r="C429" s="22">
        <v>3</v>
      </c>
      <c r="D429" s="61" t="s">
        <v>305</v>
      </c>
      <c r="E429" s="23"/>
      <c r="H429" s="29"/>
    </row>
    <row r="430" spans="1:8" ht="43.5" customHeight="1" x14ac:dyDescent="0.25">
      <c r="A430" s="276"/>
      <c r="B430" s="279"/>
      <c r="C430" s="22">
        <v>2</v>
      </c>
      <c r="D430" s="61" t="s">
        <v>306</v>
      </c>
      <c r="E430" s="23"/>
      <c r="H430" s="29"/>
    </row>
    <row r="431" spans="1:8" ht="29.1" customHeight="1" x14ac:dyDescent="0.25">
      <c r="A431" s="276"/>
      <c r="B431" s="279"/>
      <c r="C431" s="22">
        <v>1</v>
      </c>
      <c r="D431" s="61" t="s">
        <v>307</v>
      </c>
      <c r="E431" s="23"/>
      <c r="H431" s="29"/>
    </row>
    <row r="432" spans="1:8" x14ac:dyDescent="0.25">
      <c r="A432" s="276"/>
      <c r="B432" s="279"/>
      <c r="C432" s="22">
        <v>0</v>
      </c>
      <c r="D432" s="61" t="s">
        <v>308</v>
      </c>
      <c r="E432" s="24"/>
      <c r="H432" s="29"/>
    </row>
    <row r="433" spans="1:8" ht="15" customHeight="1" x14ac:dyDescent="0.25">
      <c r="A433" s="277"/>
      <c r="B433" s="280"/>
      <c r="C433" s="289" t="s">
        <v>33</v>
      </c>
      <c r="D433" s="290"/>
      <c r="E433" s="25">
        <f>IF(F427="Salah isi",0,E427)</f>
        <v>0</v>
      </c>
      <c r="H433" s="29"/>
    </row>
    <row r="434" spans="1:8" ht="15" customHeight="1" x14ac:dyDescent="0.25">
      <c r="A434" s="26"/>
      <c r="B434" s="26"/>
      <c r="C434" s="27"/>
      <c r="D434" s="63"/>
      <c r="E434" s="28"/>
      <c r="H434" s="29"/>
    </row>
    <row r="435" spans="1:8" ht="40.35" customHeight="1" x14ac:dyDescent="0.25">
      <c r="A435" s="275">
        <v>38</v>
      </c>
      <c r="B435" s="278" t="s">
        <v>309</v>
      </c>
      <c r="C435" s="287" t="s">
        <v>310</v>
      </c>
      <c r="D435" s="294"/>
      <c r="E435" s="21"/>
      <c r="F435" s="8" t="str">
        <f>IF(OR(ISBLANK(E435),E435&gt;4),"Salah isi","judge")</f>
        <v>Salah isi</v>
      </c>
      <c r="H435" s="212"/>
    </row>
    <row r="436" spans="1:8" ht="72.599999999999994" customHeight="1" x14ac:dyDescent="0.25">
      <c r="A436" s="276"/>
      <c r="B436" s="279"/>
      <c r="C436" s="30">
        <v>4</v>
      </c>
      <c r="D436" s="65" t="s">
        <v>311</v>
      </c>
      <c r="E436" s="31"/>
      <c r="H436" s="29"/>
    </row>
    <row r="437" spans="1:8" ht="43.5" customHeight="1" x14ac:dyDescent="0.25">
      <c r="A437" s="276"/>
      <c r="B437" s="279"/>
      <c r="C437" s="30">
        <v>3</v>
      </c>
      <c r="D437" s="65" t="s">
        <v>312</v>
      </c>
      <c r="E437" s="31"/>
      <c r="H437" s="29"/>
    </row>
    <row r="438" spans="1:8" ht="29.1" customHeight="1" x14ac:dyDescent="0.25">
      <c r="A438" s="276"/>
      <c r="B438" s="279"/>
      <c r="C438" s="30">
        <v>2</v>
      </c>
      <c r="D438" s="65" t="s">
        <v>313</v>
      </c>
      <c r="E438" s="31"/>
      <c r="H438" s="29"/>
    </row>
    <row r="439" spans="1:8" ht="29.1" customHeight="1" x14ac:dyDescent="0.25">
      <c r="A439" s="276"/>
      <c r="B439" s="279"/>
      <c r="C439" s="30">
        <v>1</v>
      </c>
      <c r="D439" s="65" t="s">
        <v>314</v>
      </c>
      <c r="E439" s="31"/>
      <c r="H439" s="29"/>
    </row>
    <row r="440" spans="1:8" ht="29.1" customHeight="1" x14ac:dyDescent="0.25">
      <c r="A440" s="276"/>
      <c r="B440" s="279"/>
      <c r="C440" s="30">
        <v>0</v>
      </c>
      <c r="D440" s="65" t="s">
        <v>315</v>
      </c>
      <c r="E440" s="32"/>
      <c r="H440" s="29"/>
    </row>
    <row r="441" spans="1:8" ht="42" customHeight="1" x14ac:dyDescent="0.25">
      <c r="A441" s="276"/>
      <c r="B441" s="279"/>
      <c r="C441" s="295" t="s">
        <v>316</v>
      </c>
      <c r="D441" s="296"/>
      <c r="E441" s="33"/>
      <c r="F441" s="8" t="str">
        <f>IF(OR(ISBLANK(E441),E441&gt;4),"Salah isi","judge")</f>
        <v>Salah isi</v>
      </c>
      <c r="H441" s="29"/>
    </row>
    <row r="442" spans="1:8" ht="72.599999999999994" customHeight="1" x14ac:dyDescent="0.25">
      <c r="A442" s="276"/>
      <c r="B442" s="279"/>
      <c r="C442" s="30">
        <v>4</v>
      </c>
      <c r="D442" s="67" t="s">
        <v>317</v>
      </c>
      <c r="E442" s="31"/>
      <c r="F442" s="56"/>
      <c r="H442" s="29"/>
    </row>
    <row r="443" spans="1:8" ht="43.5" customHeight="1" x14ac:dyDescent="0.25">
      <c r="A443" s="276"/>
      <c r="B443" s="279"/>
      <c r="C443" s="30">
        <v>3</v>
      </c>
      <c r="D443" s="67" t="s">
        <v>318</v>
      </c>
      <c r="E443" s="31"/>
      <c r="F443" s="56"/>
      <c r="H443" s="29"/>
    </row>
    <row r="444" spans="1:8" ht="29.1" customHeight="1" x14ac:dyDescent="0.25">
      <c r="A444" s="276"/>
      <c r="B444" s="279"/>
      <c r="C444" s="30">
        <v>2</v>
      </c>
      <c r="D444" s="67" t="s">
        <v>319</v>
      </c>
      <c r="E444" s="31"/>
      <c r="F444" s="56"/>
      <c r="H444" s="29"/>
    </row>
    <row r="445" spans="1:8" ht="29.1" customHeight="1" x14ac:dyDescent="0.25">
      <c r="A445" s="276"/>
      <c r="B445" s="279"/>
      <c r="C445" s="30">
        <v>1</v>
      </c>
      <c r="D445" s="67" t="s">
        <v>320</v>
      </c>
      <c r="E445" s="31"/>
      <c r="F445" s="56"/>
      <c r="H445" s="29"/>
    </row>
    <row r="446" spans="1:8" ht="29.1" customHeight="1" x14ac:dyDescent="0.25">
      <c r="A446" s="276"/>
      <c r="B446" s="279"/>
      <c r="C446" s="30">
        <v>0</v>
      </c>
      <c r="D446" s="67" t="s">
        <v>321</v>
      </c>
      <c r="E446" s="32"/>
      <c r="F446" s="56"/>
      <c r="H446" s="29"/>
    </row>
    <row r="447" spans="1:8" ht="34.35" customHeight="1" x14ac:dyDescent="0.25">
      <c r="A447" s="276"/>
      <c r="B447" s="279"/>
      <c r="C447" s="282" t="s">
        <v>322</v>
      </c>
      <c r="D447" s="296"/>
      <c r="E447" s="33"/>
      <c r="F447" s="8" t="str">
        <f>IF(OR(E447&lt;1,E447&gt;4),"Salah isi","judge")</f>
        <v>Salah isi</v>
      </c>
      <c r="H447" s="29"/>
    </row>
    <row r="448" spans="1:8" ht="87" customHeight="1" x14ac:dyDescent="0.25">
      <c r="A448" s="276"/>
      <c r="B448" s="279"/>
      <c r="C448" s="30">
        <v>4</v>
      </c>
      <c r="D448" s="67" t="s">
        <v>323</v>
      </c>
      <c r="E448" s="31"/>
      <c r="F448" s="56"/>
      <c r="H448" s="29"/>
    </row>
    <row r="449" spans="1:8" ht="57.95" customHeight="1" x14ac:dyDescent="0.25">
      <c r="A449" s="276"/>
      <c r="B449" s="279"/>
      <c r="C449" s="30">
        <v>3</v>
      </c>
      <c r="D449" s="67" t="s">
        <v>324</v>
      </c>
      <c r="E449" s="31"/>
      <c r="F449" s="56"/>
      <c r="H449" s="29"/>
    </row>
    <row r="450" spans="1:8" ht="43.5" customHeight="1" x14ac:dyDescent="0.25">
      <c r="A450" s="276"/>
      <c r="B450" s="279"/>
      <c r="C450" s="30">
        <v>2</v>
      </c>
      <c r="D450" s="67" t="s">
        <v>325</v>
      </c>
      <c r="E450" s="31"/>
      <c r="F450" s="56"/>
      <c r="H450" s="29"/>
    </row>
    <row r="451" spans="1:8" ht="29.1" customHeight="1" x14ac:dyDescent="0.25">
      <c r="A451" s="276"/>
      <c r="B451" s="279"/>
      <c r="C451" s="30">
        <v>1</v>
      </c>
      <c r="D451" s="67" t="s">
        <v>326</v>
      </c>
      <c r="E451" s="31"/>
      <c r="H451" s="29"/>
    </row>
    <row r="452" spans="1:8" x14ac:dyDescent="0.25">
      <c r="A452" s="276"/>
      <c r="B452" s="279"/>
      <c r="C452" s="30">
        <v>0</v>
      </c>
      <c r="D452" s="67" t="s">
        <v>72</v>
      </c>
      <c r="E452" s="32"/>
      <c r="H452" s="29"/>
    </row>
    <row r="453" spans="1:8" ht="15" customHeight="1" x14ac:dyDescent="0.25">
      <c r="A453" s="277"/>
      <c r="B453" s="280"/>
      <c r="C453" s="289" t="s">
        <v>327</v>
      </c>
      <c r="D453" s="297"/>
      <c r="E453" s="25">
        <f>IF(OR(F435="Salah isi",F441="Salah isi",F447="Salah isi"),0,(E435+2*E441+2*E447)/5)</f>
        <v>0</v>
      </c>
      <c r="H453" s="29"/>
    </row>
    <row r="454" spans="1:8" ht="15" customHeight="1" x14ac:dyDescent="0.25">
      <c r="A454" s="26"/>
      <c r="B454" s="26"/>
      <c r="C454" s="27"/>
      <c r="D454" s="63"/>
      <c r="E454" s="28"/>
      <c r="H454" s="29"/>
    </row>
    <row r="455" spans="1:8" ht="53.45" customHeight="1" x14ac:dyDescent="0.25">
      <c r="A455" s="275">
        <v>39</v>
      </c>
      <c r="B455" s="278" t="s">
        <v>328</v>
      </c>
      <c r="C455" s="287" t="s">
        <v>329</v>
      </c>
      <c r="D455" s="288"/>
      <c r="E455" s="21"/>
      <c r="F455" s="8" t="str">
        <f>IF(OR(E455&lt;1,E455&gt;4),"Salah isi","judge")</f>
        <v>Salah isi</v>
      </c>
      <c r="H455" s="212"/>
    </row>
    <row r="456" spans="1:8" ht="43.5" customHeight="1" x14ac:dyDescent="0.25">
      <c r="A456" s="276"/>
      <c r="B456" s="279"/>
      <c r="C456" s="22">
        <v>4</v>
      </c>
      <c r="D456" s="61" t="s">
        <v>330</v>
      </c>
      <c r="E456" s="23"/>
      <c r="H456" s="29"/>
    </row>
    <row r="457" spans="1:8" ht="43.5" customHeight="1" x14ac:dyDescent="0.25">
      <c r="A457" s="276"/>
      <c r="B457" s="279"/>
      <c r="C457" s="22">
        <v>3</v>
      </c>
      <c r="D457" s="61" t="s">
        <v>331</v>
      </c>
      <c r="E457" s="23"/>
      <c r="H457" s="29"/>
    </row>
    <row r="458" spans="1:8" ht="29.1" customHeight="1" x14ac:dyDescent="0.25">
      <c r="A458" s="276"/>
      <c r="B458" s="279"/>
      <c r="C458" s="22">
        <v>2</v>
      </c>
      <c r="D458" s="61" t="s">
        <v>332</v>
      </c>
      <c r="E458" s="23"/>
      <c r="H458" s="29"/>
    </row>
    <row r="459" spans="1:8" ht="29.1" customHeight="1" x14ac:dyDescent="0.25">
      <c r="A459" s="276"/>
      <c r="B459" s="279"/>
      <c r="C459" s="22">
        <v>1</v>
      </c>
      <c r="D459" s="61" t="s">
        <v>333</v>
      </c>
      <c r="E459" s="23"/>
      <c r="H459" s="29"/>
    </row>
    <row r="460" spans="1:8" x14ac:dyDescent="0.25">
      <c r="A460" s="276"/>
      <c r="B460" s="279"/>
      <c r="C460" s="22">
        <v>0</v>
      </c>
      <c r="D460" s="61" t="s">
        <v>72</v>
      </c>
      <c r="E460" s="24"/>
      <c r="H460" s="29"/>
    </row>
    <row r="461" spans="1:8" ht="15" customHeight="1" x14ac:dyDescent="0.25">
      <c r="A461" s="277"/>
      <c r="B461" s="280"/>
      <c r="C461" s="289" t="s">
        <v>33</v>
      </c>
      <c r="D461" s="290"/>
      <c r="E461" s="25">
        <f>IF(F455="Salah isi",0,E455)</f>
        <v>0</v>
      </c>
      <c r="H461" s="29"/>
    </row>
    <row r="462" spans="1:8" ht="15" customHeight="1" x14ac:dyDescent="0.25">
      <c r="A462" s="26"/>
      <c r="B462" s="26"/>
      <c r="C462" s="27"/>
      <c r="D462" s="63"/>
      <c r="E462" s="28"/>
      <c r="H462" s="29"/>
    </row>
    <row r="463" spans="1:8" ht="40.35" customHeight="1" x14ac:dyDescent="0.25">
      <c r="A463" s="275">
        <v>40</v>
      </c>
      <c r="B463" s="278" t="s">
        <v>334</v>
      </c>
      <c r="C463" s="287" t="s">
        <v>335</v>
      </c>
      <c r="D463" s="294"/>
      <c r="E463" s="21"/>
      <c r="F463" s="8" t="str">
        <f>IF(OR(ISBLANK(E463),E463&gt;4),"Salah isi","judge")</f>
        <v>Salah isi</v>
      </c>
      <c r="H463" s="264"/>
    </row>
    <row r="464" spans="1:8" ht="57.95" customHeight="1" x14ac:dyDescent="0.25">
      <c r="A464" s="276"/>
      <c r="B464" s="279"/>
      <c r="C464" s="30">
        <v>4</v>
      </c>
      <c r="D464" s="65" t="s">
        <v>336</v>
      </c>
      <c r="E464" s="31"/>
      <c r="H464" s="29"/>
    </row>
    <row r="465" spans="1:8" ht="57.95" customHeight="1" x14ac:dyDescent="0.25">
      <c r="A465" s="276"/>
      <c r="B465" s="279"/>
      <c r="C465" s="30">
        <v>3</v>
      </c>
      <c r="D465" s="65" t="s">
        <v>337</v>
      </c>
      <c r="E465" s="31"/>
      <c r="H465" s="29"/>
    </row>
    <row r="466" spans="1:8" ht="43.5" customHeight="1" x14ac:dyDescent="0.25">
      <c r="A466" s="276"/>
      <c r="B466" s="279"/>
      <c r="C466" s="30">
        <v>2</v>
      </c>
      <c r="D466" s="65" t="s">
        <v>338</v>
      </c>
      <c r="E466" s="31"/>
      <c r="H466" s="29"/>
    </row>
    <row r="467" spans="1:8" ht="43.5" customHeight="1" x14ac:dyDescent="0.25">
      <c r="A467" s="276"/>
      <c r="B467" s="279"/>
      <c r="C467" s="30">
        <v>1</v>
      </c>
      <c r="D467" s="65" t="s">
        <v>339</v>
      </c>
      <c r="E467" s="31"/>
      <c r="H467" s="29"/>
    </row>
    <row r="468" spans="1:8" x14ac:dyDescent="0.25">
      <c r="A468" s="276"/>
      <c r="B468" s="279"/>
      <c r="C468" s="30">
        <v>0</v>
      </c>
      <c r="D468" s="65" t="s">
        <v>340</v>
      </c>
      <c r="E468" s="32"/>
      <c r="H468" s="29"/>
    </row>
    <row r="469" spans="1:8" ht="34.35" customHeight="1" x14ac:dyDescent="0.25">
      <c r="A469" s="276"/>
      <c r="B469" s="279"/>
      <c r="C469" s="282" t="s">
        <v>341</v>
      </c>
      <c r="D469" s="296"/>
      <c r="E469" s="33"/>
      <c r="F469" s="8" t="str">
        <f>IF(OR(ISBLANK(E469),E469&gt;4),"Salah isi","judge")</f>
        <v>Salah isi</v>
      </c>
      <c r="H469" s="29"/>
    </row>
    <row r="470" spans="1:8" ht="43.5" customHeight="1" x14ac:dyDescent="0.25">
      <c r="A470" s="276"/>
      <c r="B470" s="279"/>
      <c r="C470" s="30">
        <v>4</v>
      </c>
      <c r="D470" s="67" t="s">
        <v>342</v>
      </c>
      <c r="E470" s="31"/>
      <c r="F470" s="56"/>
      <c r="H470" s="29"/>
    </row>
    <row r="471" spans="1:8" ht="43.5" customHeight="1" x14ac:dyDescent="0.25">
      <c r="A471" s="276"/>
      <c r="B471" s="279"/>
      <c r="C471" s="30">
        <v>3</v>
      </c>
      <c r="D471" s="67" t="s">
        <v>343</v>
      </c>
      <c r="E471" s="31"/>
      <c r="F471" s="56"/>
      <c r="H471" s="29"/>
    </row>
    <row r="472" spans="1:8" ht="29.1" customHeight="1" x14ac:dyDescent="0.25">
      <c r="A472" s="276"/>
      <c r="B472" s="279"/>
      <c r="C472" s="30">
        <v>2</v>
      </c>
      <c r="D472" s="67" t="s">
        <v>344</v>
      </c>
      <c r="E472" s="31"/>
      <c r="F472" s="56"/>
      <c r="H472" s="29"/>
    </row>
    <row r="473" spans="1:8" ht="29.1" customHeight="1" x14ac:dyDescent="0.25">
      <c r="A473" s="276"/>
      <c r="B473" s="279"/>
      <c r="C473" s="30">
        <v>1</v>
      </c>
      <c r="D473" s="67" t="s">
        <v>345</v>
      </c>
      <c r="E473" s="31"/>
      <c r="H473" s="29"/>
    </row>
    <row r="474" spans="1:8" ht="30" customHeight="1" x14ac:dyDescent="0.25">
      <c r="A474" s="276"/>
      <c r="B474" s="279"/>
      <c r="C474" s="30">
        <v>0</v>
      </c>
      <c r="D474" s="67" t="s">
        <v>346</v>
      </c>
      <c r="E474" s="32"/>
      <c r="H474" s="29"/>
    </row>
    <row r="475" spans="1:8" ht="15" customHeight="1" x14ac:dyDescent="0.25">
      <c r="A475" s="277"/>
      <c r="B475" s="280"/>
      <c r="C475" s="289" t="s">
        <v>73</v>
      </c>
      <c r="D475" s="297"/>
      <c r="E475" s="25">
        <f>IF(OR(F463="Salah isi",F469="Salah isi"),0,(E463+2*E469)/3)</f>
        <v>0</v>
      </c>
      <c r="H475" s="29"/>
    </row>
    <row r="476" spans="1:8" ht="15" customHeight="1" x14ac:dyDescent="0.25">
      <c r="A476" s="26"/>
      <c r="B476" s="26"/>
      <c r="C476" s="27"/>
      <c r="D476" s="63"/>
      <c r="E476" s="28"/>
      <c r="H476" s="29"/>
    </row>
    <row r="477" spans="1:8" ht="40.35" customHeight="1" x14ac:dyDescent="0.25">
      <c r="A477" s="275">
        <v>41</v>
      </c>
      <c r="B477" s="278" t="s">
        <v>347</v>
      </c>
      <c r="C477" s="287" t="s">
        <v>348</v>
      </c>
      <c r="D477" s="294"/>
      <c r="E477" s="21"/>
      <c r="F477" s="8" t="str">
        <f>IF(OR(ISBLANK(E477),E477&gt;4),"Salah isi","judge")</f>
        <v>Salah isi</v>
      </c>
      <c r="H477" s="263"/>
    </row>
    <row r="478" spans="1:8" ht="57.95" customHeight="1" x14ac:dyDescent="0.25">
      <c r="A478" s="276"/>
      <c r="B478" s="279"/>
      <c r="C478" s="30">
        <v>4</v>
      </c>
      <c r="D478" s="65" t="s">
        <v>349</v>
      </c>
      <c r="E478" s="31"/>
      <c r="H478" s="29"/>
    </row>
    <row r="479" spans="1:8" ht="43.5" customHeight="1" x14ac:dyDescent="0.25">
      <c r="A479" s="276"/>
      <c r="B479" s="279"/>
      <c r="C479" s="30">
        <v>3</v>
      </c>
      <c r="D479" s="65" t="s">
        <v>350</v>
      </c>
      <c r="E479" s="31"/>
      <c r="H479" s="29"/>
    </row>
    <row r="480" spans="1:8" ht="43.5" customHeight="1" x14ac:dyDescent="0.25">
      <c r="A480" s="276"/>
      <c r="B480" s="279"/>
      <c r="C480" s="30">
        <v>2</v>
      </c>
      <c r="D480" s="65" t="s">
        <v>351</v>
      </c>
      <c r="E480" s="31"/>
      <c r="H480" s="29"/>
    </row>
    <row r="481" spans="1:8" ht="43.5" customHeight="1" x14ac:dyDescent="0.25">
      <c r="A481" s="276"/>
      <c r="B481" s="279"/>
      <c r="C481" s="30">
        <v>1</v>
      </c>
      <c r="D481" s="65" t="s">
        <v>352</v>
      </c>
      <c r="E481" s="31"/>
      <c r="H481" s="29"/>
    </row>
    <row r="482" spans="1:8" ht="29.1" customHeight="1" x14ac:dyDescent="0.25">
      <c r="A482" s="276"/>
      <c r="B482" s="279"/>
      <c r="C482" s="30">
        <v>0</v>
      </c>
      <c r="D482" s="65" t="s">
        <v>353</v>
      </c>
      <c r="E482" s="32"/>
      <c r="H482" s="29"/>
    </row>
    <row r="483" spans="1:8" ht="34.35" customHeight="1" x14ac:dyDescent="0.25">
      <c r="A483" s="276"/>
      <c r="B483" s="279"/>
      <c r="C483" s="282" t="s">
        <v>354</v>
      </c>
      <c r="D483" s="296"/>
      <c r="E483" s="33">
        <v>0</v>
      </c>
      <c r="F483" s="8" t="str">
        <f>IF(OR(ISBLANK(E483),E483&gt;4),"Salah isi","judge")</f>
        <v>judge</v>
      </c>
      <c r="H483" s="29"/>
    </row>
    <row r="484" spans="1:8" ht="72.599999999999994" customHeight="1" x14ac:dyDescent="0.25">
      <c r="A484" s="276"/>
      <c r="B484" s="279"/>
      <c r="C484" s="30">
        <v>4</v>
      </c>
      <c r="D484" s="67" t="s">
        <v>355</v>
      </c>
      <c r="E484" s="31"/>
      <c r="F484" s="56"/>
      <c r="H484" s="29"/>
    </row>
    <row r="485" spans="1:8" ht="57.95" customHeight="1" x14ac:dyDescent="0.25">
      <c r="A485" s="276"/>
      <c r="B485" s="279"/>
      <c r="C485" s="30">
        <v>3</v>
      </c>
      <c r="D485" s="67" t="s">
        <v>356</v>
      </c>
      <c r="E485" s="31"/>
      <c r="F485" s="56"/>
      <c r="H485" s="29"/>
    </row>
    <row r="486" spans="1:8" ht="43.5" customHeight="1" x14ac:dyDescent="0.25">
      <c r="A486" s="276"/>
      <c r="B486" s="279"/>
      <c r="C486" s="30">
        <v>2</v>
      </c>
      <c r="D486" s="67" t="s">
        <v>357</v>
      </c>
      <c r="E486" s="31"/>
      <c r="F486" s="56"/>
      <c r="H486" s="29"/>
    </row>
    <row r="487" spans="1:8" ht="29.1" customHeight="1" x14ac:dyDescent="0.25">
      <c r="A487" s="276"/>
      <c r="B487" s="279"/>
      <c r="C487" s="30">
        <v>1</v>
      </c>
      <c r="D487" s="67" t="s">
        <v>358</v>
      </c>
      <c r="E487" s="31"/>
      <c r="H487" s="29"/>
    </row>
    <row r="488" spans="1:8" ht="30" customHeight="1" x14ac:dyDescent="0.25">
      <c r="A488" s="276"/>
      <c r="B488" s="279"/>
      <c r="C488" s="30">
        <v>0</v>
      </c>
      <c r="D488" s="265" t="s">
        <v>359</v>
      </c>
      <c r="E488" s="32"/>
      <c r="H488" s="29"/>
    </row>
    <row r="489" spans="1:8" ht="114.6" customHeight="1" x14ac:dyDescent="0.25">
      <c r="A489" s="276"/>
      <c r="B489" s="279"/>
      <c r="C489" s="303" t="s">
        <v>360</v>
      </c>
      <c r="D489" s="304"/>
      <c r="E489" s="33">
        <v>2</v>
      </c>
      <c r="F489" s="8" t="str">
        <f>IF(OR(E489&lt;2,AND(E489&gt;2,E489&lt;4),E489&gt;4),"Salah isi","judge")</f>
        <v>judge</v>
      </c>
      <c r="H489" s="29"/>
    </row>
    <row r="490" spans="1:8" ht="43.5" customHeight="1" x14ac:dyDescent="0.25">
      <c r="A490" s="276"/>
      <c r="B490" s="279"/>
      <c r="C490" s="209">
        <v>4</v>
      </c>
      <c r="D490" s="210" t="s">
        <v>361</v>
      </c>
      <c r="E490" s="211"/>
      <c r="F490" s="56"/>
      <c r="H490" s="29"/>
    </row>
    <row r="491" spans="1:8" x14ac:dyDescent="0.25">
      <c r="A491" s="276"/>
      <c r="B491" s="279"/>
      <c r="C491" s="209">
        <v>3</v>
      </c>
      <c r="D491" s="67" t="s">
        <v>362</v>
      </c>
      <c r="E491" s="211"/>
      <c r="F491" s="56"/>
      <c r="H491" s="29"/>
    </row>
    <row r="492" spans="1:8" ht="43.5" customHeight="1" x14ac:dyDescent="0.25">
      <c r="A492" s="276"/>
      <c r="B492" s="279"/>
      <c r="C492" s="209">
        <v>2</v>
      </c>
      <c r="D492" s="210" t="s">
        <v>363</v>
      </c>
      <c r="E492" s="211"/>
      <c r="F492" s="56"/>
      <c r="H492" s="29"/>
    </row>
    <row r="493" spans="1:8" x14ac:dyDescent="0.25">
      <c r="A493" s="276"/>
      <c r="B493" s="279"/>
      <c r="C493" s="209">
        <v>1</v>
      </c>
      <c r="D493" s="305" t="s">
        <v>79</v>
      </c>
      <c r="E493" s="367"/>
      <c r="H493" s="29"/>
    </row>
    <row r="494" spans="1:8" x14ac:dyDescent="0.25">
      <c r="A494" s="276"/>
      <c r="B494" s="279"/>
      <c r="C494" s="209">
        <v>0</v>
      </c>
      <c r="D494" s="306"/>
      <c r="E494" s="368"/>
      <c r="H494" s="29"/>
    </row>
    <row r="495" spans="1:8" ht="101.1" customHeight="1" x14ac:dyDescent="0.25">
      <c r="A495" s="276"/>
      <c r="B495" s="279"/>
      <c r="C495" s="282" t="s">
        <v>364</v>
      </c>
      <c r="D495" s="296"/>
      <c r="E495" s="33"/>
      <c r="F495" s="8" t="str">
        <f>IF(OR(E495&lt;2,AND(E495&gt;2,E495&lt;4),E495&gt;4),"Salah isi","judge")</f>
        <v>Salah isi</v>
      </c>
      <c r="H495" s="29"/>
    </row>
    <row r="496" spans="1:8" ht="43.5" customHeight="1" x14ac:dyDescent="0.25">
      <c r="A496" s="276"/>
      <c r="B496" s="279"/>
      <c r="C496" s="30">
        <v>4</v>
      </c>
      <c r="D496" s="265" t="s">
        <v>365</v>
      </c>
      <c r="E496" s="31"/>
      <c r="F496" s="56"/>
      <c r="H496" s="29"/>
    </row>
    <row r="497" spans="1:8" x14ac:dyDescent="0.25">
      <c r="A497" s="276"/>
      <c r="B497" s="279"/>
      <c r="C497" s="30">
        <v>3</v>
      </c>
      <c r="D497" s="67" t="s">
        <v>362</v>
      </c>
      <c r="E497" s="31"/>
      <c r="F497" s="56"/>
      <c r="H497" s="29"/>
    </row>
    <row r="498" spans="1:8" ht="43.5" customHeight="1" x14ac:dyDescent="0.25">
      <c r="A498" s="276"/>
      <c r="B498" s="279"/>
      <c r="C498" s="30">
        <v>2</v>
      </c>
      <c r="D498" s="67" t="s">
        <v>366</v>
      </c>
      <c r="E498" s="31"/>
      <c r="F498" s="56"/>
      <c r="H498" s="29"/>
    </row>
    <row r="499" spans="1:8" x14ac:dyDescent="0.25">
      <c r="A499" s="276"/>
      <c r="B499" s="279"/>
      <c r="C499" s="30">
        <v>1</v>
      </c>
      <c r="D499" s="305" t="s">
        <v>79</v>
      </c>
      <c r="E499" s="339"/>
      <c r="H499" s="29"/>
    </row>
    <row r="500" spans="1:8" x14ac:dyDescent="0.25">
      <c r="A500" s="276"/>
      <c r="B500" s="279"/>
      <c r="C500" s="30">
        <v>0</v>
      </c>
      <c r="D500" s="306"/>
      <c r="E500" s="340"/>
      <c r="H500" s="29"/>
    </row>
    <row r="501" spans="1:8" ht="62.1" customHeight="1" x14ac:dyDescent="0.25">
      <c r="A501" s="276"/>
      <c r="B501" s="279"/>
      <c r="C501" s="282" t="s">
        <v>367</v>
      </c>
      <c r="D501" s="296"/>
      <c r="E501" s="33">
        <v>0</v>
      </c>
      <c r="F501" s="8" t="str">
        <f>IF(OR(ISBLANK(E501),E501&gt;4),"Salah isi","judge")</f>
        <v>judge</v>
      </c>
      <c r="H501" s="29"/>
    </row>
    <row r="502" spans="1:8" ht="45" customHeight="1" x14ac:dyDescent="0.25">
      <c r="A502" s="276"/>
      <c r="B502" s="279"/>
      <c r="C502" s="30">
        <v>4</v>
      </c>
      <c r="D502" s="67" t="s">
        <v>368</v>
      </c>
      <c r="E502" s="31"/>
      <c r="F502" s="56"/>
      <c r="H502" s="29"/>
    </row>
    <row r="503" spans="1:8" ht="45" customHeight="1" x14ac:dyDescent="0.25">
      <c r="A503" s="276"/>
      <c r="B503" s="279"/>
      <c r="C503" s="30">
        <v>3</v>
      </c>
      <c r="D503" s="67" t="s">
        <v>369</v>
      </c>
      <c r="E503" s="31"/>
      <c r="F503" s="56"/>
      <c r="H503" s="29"/>
    </row>
    <row r="504" spans="1:8" ht="45" customHeight="1" x14ac:dyDescent="0.25">
      <c r="A504" s="276"/>
      <c r="B504" s="279"/>
      <c r="C504" s="30">
        <v>2</v>
      </c>
      <c r="D504" s="67" t="s">
        <v>370</v>
      </c>
      <c r="E504" s="31"/>
      <c r="F504" s="56"/>
      <c r="H504" s="29"/>
    </row>
    <row r="505" spans="1:8" ht="43.5" customHeight="1" x14ac:dyDescent="0.25">
      <c r="A505" s="276"/>
      <c r="B505" s="279"/>
      <c r="C505" s="30">
        <v>1</v>
      </c>
      <c r="D505" s="67" t="s">
        <v>371</v>
      </c>
      <c r="E505" s="31"/>
      <c r="H505" s="29"/>
    </row>
    <row r="506" spans="1:8" ht="30" customHeight="1" x14ac:dyDescent="0.25">
      <c r="A506" s="276"/>
      <c r="B506" s="279"/>
      <c r="C506" s="30">
        <v>0</v>
      </c>
      <c r="D506" s="67" t="s">
        <v>372</v>
      </c>
      <c r="E506" s="32"/>
      <c r="H506" s="29"/>
    </row>
    <row r="507" spans="1:8" ht="15" customHeight="1" x14ac:dyDescent="0.25">
      <c r="A507" s="277"/>
      <c r="B507" s="280"/>
      <c r="C507" s="289" t="s">
        <v>373</v>
      </c>
      <c r="D507" s="297"/>
      <c r="E507" s="25">
        <f>IF(OR(F477="Salah isi",F489="Salah isi",F501="Salah isi",F483="Salah Isi",F495="Salah Isi"),0,(E477+2*E483+2*E489+2*E495+2*E501)/9)</f>
        <v>0</v>
      </c>
      <c r="H507" s="29"/>
    </row>
    <row r="508" spans="1:8" ht="15" customHeight="1" x14ac:dyDescent="0.25">
      <c r="A508" s="26"/>
      <c r="B508" s="26"/>
      <c r="C508" s="27"/>
      <c r="D508" s="63"/>
      <c r="E508" s="28"/>
      <c r="H508" s="29"/>
    </row>
    <row r="509" spans="1:8" ht="53.45" customHeight="1" x14ac:dyDescent="0.25">
      <c r="A509" s="275">
        <v>42</v>
      </c>
      <c r="B509" s="352"/>
      <c r="C509" s="281" t="s">
        <v>374</v>
      </c>
      <c r="D509" s="281"/>
      <c r="E509" s="46"/>
      <c r="H509" s="212"/>
    </row>
    <row r="510" spans="1:8" ht="33.6" customHeight="1" x14ac:dyDescent="0.25">
      <c r="A510" s="276"/>
      <c r="B510" s="353"/>
      <c r="C510" s="282" t="s">
        <v>375</v>
      </c>
      <c r="D510" s="283"/>
      <c r="E510" s="57">
        <v>480</v>
      </c>
      <c r="F510" s="8" t="s">
        <v>93</v>
      </c>
      <c r="G510" s="37"/>
      <c r="H510" s="29"/>
    </row>
    <row r="511" spans="1:8" ht="19.350000000000001" customHeight="1" x14ac:dyDescent="0.25">
      <c r="A511" s="276"/>
      <c r="B511" s="353"/>
      <c r="C511" s="282" t="s">
        <v>376</v>
      </c>
      <c r="D511" s="283"/>
      <c r="E511" s="57">
        <v>6360</v>
      </c>
      <c r="F511" s="8" t="s">
        <v>93</v>
      </c>
      <c r="G511" s="37"/>
      <c r="H511" s="29"/>
    </row>
    <row r="512" spans="1:8" ht="15.75" customHeight="1" x14ac:dyDescent="0.25">
      <c r="A512" s="276"/>
      <c r="B512" s="353"/>
      <c r="C512" s="282" t="s">
        <v>377</v>
      </c>
      <c r="D512" s="283"/>
      <c r="E512" s="107">
        <f>IF(E511&gt;0,E510/E511,0)</f>
        <v>7.5471698113207544E-2</v>
      </c>
      <c r="G512" s="43"/>
      <c r="H512" s="29"/>
    </row>
    <row r="513" spans="1:8" ht="14.45" hidden="1" customHeight="1" x14ac:dyDescent="0.25">
      <c r="A513" s="276"/>
      <c r="B513" s="353"/>
      <c r="C513" s="124" t="s">
        <v>151</v>
      </c>
      <c r="D513" s="156">
        <v>0.2</v>
      </c>
      <c r="E513" s="161"/>
      <c r="G513" s="43"/>
      <c r="H513" s="29"/>
    </row>
    <row r="514" spans="1:8" ht="15" customHeight="1" x14ac:dyDescent="0.25">
      <c r="A514" s="277"/>
      <c r="B514" s="354"/>
      <c r="C514" s="301" t="s">
        <v>33</v>
      </c>
      <c r="D514" s="302"/>
      <c r="E514" s="25">
        <f>IF(E512&gt;=D513,4,4/D513*E512)</f>
        <v>1.5094339622641508</v>
      </c>
      <c r="H514" s="29"/>
    </row>
    <row r="515" spans="1:8" ht="15" customHeight="1" x14ac:dyDescent="0.25">
      <c r="C515" s="39"/>
      <c r="D515" s="69"/>
      <c r="H515" s="39"/>
    </row>
    <row r="516" spans="1:8" ht="53.45" customHeight="1" x14ac:dyDescent="0.25">
      <c r="A516" s="275">
        <v>43</v>
      </c>
      <c r="B516" s="278" t="s">
        <v>378</v>
      </c>
      <c r="C516" s="287" t="s">
        <v>379</v>
      </c>
      <c r="D516" s="288"/>
      <c r="E516" s="21">
        <v>0</v>
      </c>
      <c r="F516" s="8" t="str">
        <f>IF(OR(ISBLANK(E516),E516&gt;4),"Salah isi","judge")</f>
        <v>judge</v>
      </c>
      <c r="H516" s="263"/>
    </row>
    <row r="517" spans="1:8" ht="72.599999999999994" customHeight="1" x14ac:dyDescent="0.25">
      <c r="A517" s="276"/>
      <c r="B517" s="279"/>
      <c r="C517" s="22">
        <v>4</v>
      </c>
      <c r="D517" s="61" t="s">
        <v>380</v>
      </c>
      <c r="E517" s="23"/>
      <c r="H517" s="29"/>
    </row>
    <row r="518" spans="1:8" ht="57.95" customHeight="1" x14ac:dyDescent="0.25">
      <c r="A518" s="276"/>
      <c r="B518" s="279"/>
      <c r="C518" s="22">
        <v>3</v>
      </c>
      <c r="D518" s="61" t="s">
        <v>381</v>
      </c>
      <c r="E518" s="23"/>
      <c r="H518" s="29"/>
    </row>
    <row r="519" spans="1:8" ht="57.95" customHeight="1" x14ac:dyDescent="0.25">
      <c r="A519" s="276"/>
      <c r="B519" s="279"/>
      <c r="C519" s="22">
        <v>2</v>
      </c>
      <c r="D519" s="61" t="s">
        <v>382</v>
      </c>
      <c r="E519" s="23"/>
      <c r="H519" s="29"/>
    </row>
    <row r="520" spans="1:8" ht="57.95" customHeight="1" x14ac:dyDescent="0.25">
      <c r="A520" s="276"/>
      <c r="B520" s="279"/>
      <c r="C520" s="22">
        <v>1</v>
      </c>
      <c r="D520" s="61" t="s">
        <v>383</v>
      </c>
      <c r="E520" s="23"/>
      <c r="H520" s="29"/>
    </row>
    <row r="521" spans="1:8" ht="43.5" customHeight="1" x14ac:dyDescent="0.25">
      <c r="A521" s="276"/>
      <c r="B521" s="279"/>
      <c r="C521" s="22">
        <v>0</v>
      </c>
      <c r="D521" s="61" t="s">
        <v>384</v>
      </c>
      <c r="E521" s="24"/>
      <c r="H521" s="29"/>
    </row>
    <row r="522" spans="1:8" ht="15" customHeight="1" x14ac:dyDescent="0.25">
      <c r="A522" s="277"/>
      <c r="B522" s="280"/>
      <c r="C522" s="289" t="s">
        <v>33</v>
      </c>
      <c r="D522" s="290"/>
      <c r="E522" s="25">
        <f>IF(F516="Salah isi",0,E516)</f>
        <v>0</v>
      </c>
      <c r="H522" s="29"/>
    </row>
    <row r="523" spans="1:8" ht="15" customHeight="1" x14ac:dyDescent="0.25">
      <c r="A523" s="26"/>
      <c r="B523" s="26"/>
      <c r="C523" s="27"/>
      <c r="D523" s="63"/>
      <c r="E523" s="28"/>
      <c r="H523" s="29"/>
    </row>
    <row r="524" spans="1:8" ht="67.349999999999994" customHeight="1" x14ac:dyDescent="0.25">
      <c r="A524" s="275">
        <v>44</v>
      </c>
      <c r="B524" s="278" t="s">
        <v>385</v>
      </c>
      <c r="C524" s="287" t="s">
        <v>386</v>
      </c>
      <c r="D524" s="294"/>
      <c r="E524" s="21"/>
      <c r="F524" s="8" t="str">
        <f>IF(OR(ISBLANK(E524),E524&gt;4),"Salah isi","judge")</f>
        <v>Salah isi</v>
      </c>
      <c r="H524" s="263"/>
    </row>
    <row r="525" spans="1:8" ht="43.5" customHeight="1" x14ac:dyDescent="0.25">
      <c r="A525" s="276"/>
      <c r="B525" s="279"/>
      <c r="C525" s="30">
        <v>4</v>
      </c>
      <c r="D525" s="65" t="s">
        <v>387</v>
      </c>
      <c r="E525" s="31"/>
      <c r="H525" s="29"/>
    </row>
    <row r="526" spans="1:8" ht="43.5" customHeight="1" x14ac:dyDescent="0.25">
      <c r="A526" s="276"/>
      <c r="B526" s="279"/>
      <c r="C526" s="30">
        <v>3</v>
      </c>
      <c r="D526" s="65" t="s">
        <v>388</v>
      </c>
      <c r="E526" s="31"/>
      <c r="H526" s="29"/>
    </row>
    <row r="527" spans="1:8" ht="29.1" customHeight="1" x14ac:dyDescent="0.25">
      <c r="A527" s="276"/>
      <c r="B527" s="279"/>
      <c r="C527" s="30">
        <v>2</v>
      </c>
      <c r="D527" s="65" t="s">
        <v>389</v>
      </c>
      <c r="E527" s="31"/>
      <c r="H527" s="29"/>
    </row>
    <row r="528" spans="1:8" ht="29.1" customHeight="1" x14ac:dyDescent="0.25">
      <c r="A528" s="276"/>
      <c r="B528" s="279"/>
      <c r="C528" s="30">
        <v>1</v>
      </c>
      <c r="D528" s="65" t="s">
        <v>390</v>
      </c>
      <c r="E528" s="31"/>
      <c r="H528" s="29"/>
    </row>
    <row r="529" spans="1:8" ht="30" x14ac:dyDescent="0.25">
      <c r="A529" s="276"/>
      <c r="B529" s="279"/>
      <c r="C529" s="30">
        <v>0</v>
      </c>
      <c r="D529" s="65" t="s">
        <v>391</v>
      </c>
      <c r="E529" s="32"/>
      <c r="H529" s="29"/>
    </row>
    <row r="530" spans="1:8" ht="83.1" customHeight="1" x14ac:dyDescent="0.25">
      <c r="A530" s="276"/>
      <c r="B530" s="279"/>
      <c r="C530" s="282" t="s">
        <v>392</v>
      </c>
      <c r="D530" s="296"/>
      <c r="E530" s="33">
        <v>0</v>
      </c>
      <c r="F530" s="8" t="str">
        <f>IF(OR(ISBLANK(E530),E530&gt;4),"Salah isi","judge")</f>
        <v>judge</v>
      </c>
      <c r="H530" s="29"/>
    </row>
    <row r="531" spans="1:8" ht="43.5" customHeight="1" x14ac:dyDescent="0.25">
      <c r="A531" s="276"/>
      <c r="B531" s="279"/>
      <c r="C531" s="30">
        <v>4</v>
      </c>
      <c r="D531" s="67" t="s">
        <v>393</v>
      </c>
      <c r="E531" s="31"/>
      <c r="F531" s="56"/>
      <c r="H531" s="29"/>
    </row>
    <row r="532" spans="1:8" ht="43.5" customHeight="1" x14ac:dyDescent="0.25">
      <c r="A532" s="276"/>
      <c r="B532" s="279"/>
      <c r="C532" s="30">
        <v>3</v>
      </c>
      <c r="D532" s="67" t="s">
        <v>394</v>
      </c>
      <c r="E532" s="31"/>
      <c r="F532" s="56"/>
      <c r="H532" s="29"/>
    </row>
    <row r="533" spans="1:8" ht="43.5" customHeight="1" x14ac:dyDescent="0.25">
      <c r="A533" s="276"/>
      <c r="B533" s="279"/>
      <c r="C533" s="30">
        <v>2</v>
      </c>
      <c r="D533" s="67" t="s">
        <v>395</v>
      </c>
      <c r="E533" s="31"/>
      <c r="F533" s="56"/>
      <c r="H533" s="29"/>
    </row>
    <row r="534" spans="1:8" ht="43.5" customHeight="1" x14ac:dyDescent="0.25">
      <c r="A534" s="276"/>
      <c r="B534" s="279"/>
      <c r="C534" s="30">
        <v>1</v>
      </c>
      <c r="D534" s="67" t="s">
        <v>396</v>
      </c>
      <c r="E534" s="31"/>
      <c r="H534" s="29"/>
    </row>
    <row r="535" spans="1:8" ht="30" customHeight="1" x14ac:dyDescent="0.25">
      <c r="A535" s="276"/>
      <c r="B535" s="279"/>
      <c r="C535" s="30">
        <v>0</v>
      </c>
      <c r="D535" s="67" t="s">
        <v>397</v>
      </c>
      <c r="E535" s="32"/>
      <c r="H535" s="29"/>
    </row>
    <row r="536" spans="1:8" ht="155.44999999999999" customHeight="1" x14ac:dyDescent="0.25">
      <c r="A536" s="276"/>
      <c r="B536" s="279"/>
      <c r="C536" s="282" t="s">
        <v>398</v>
      </c>
      <c r="D536" s="296"/>
      <c r="E536" s="33">
        <v>0</v>
      </c>
      <c r="F536" s="8" t="str">
        <f>IF(OR(ISBLANK(E536),E536&gt;4),"Salah isi","judge")</f>
        <v>judge</v>
      </c>
      <c r="H536" s="29"/>
    </row>
    <row r="537" spans="1:8" ht="43.5" customHeight="1" x14ac:dyDescent="0.25">
      <c r="A537" s="276"/>
      <c r="B537" s="279"/>
      <c r="C537" s="30">
        <v>4</v>
      </c>
      <c r="D537" s="67" t="s">
        <v>393</v>
      </c>
      <c r="E537" s="31"/>
      <c r="F537" s="56"/>
      <c r="H537" s="29"/>
    </row>
    <row r="538" spans="1:8" ht="43.5" customHeight="1" x14ac:dyDescent="0.25">
      <c r="A538" s="276"/>
      <c r="B538" s="279"/>
      <c r="C538" s="30">
        <v>3</v>
      </c>
      <c r="D538" s="67" t="s">
        <v>394</v>
      </c>
      <c r="E538" s="31"/>
      <c r="F538" s="56"/>
      <c r="H538" s="29"/>
    </row>
    <row r="539" spans="1:8" ht="43.5" customHeight="1" x14ac:dyDescent="0.25">
      <c r="A539" s="276"/>
      <c r="B539" s="279"/>
      <c r="C539" s="30">
        <v>2</v>
      </c>
      <c r="D539" s="67" t="s">
        <v>395</v>
      </c>
      <c r="E539" s="31"/>
      <c r="F539" s="56"/>
      <c r="H539" s="29"/>
    </row>
    <row r="540" spans="1:8" ht="43.5" customHeight="1" x14ac:dyDescent="0.25">
      <c r="A540" s="276"/>
      <c r="B540" s="279"/>
      <c r="C540" s="30">
        <v>1</v>
      </c>
      <c r="D540" s="67" t="s">
        <v>396</v>
      </c>
      <c r="E540" s="31"/>
      <c r="H540" s="29"/>
    </row>
    <row r="541" spans="1:8" ht="30" customHeight="1" x14ac:dyDescent="0.25">
      <c r="A541" s="276"/>
      <c r="B541" s="279"/>
      <c r="C541" s="30">
        <v>0</v>
      </c>
      <c r="D541" s="67" t="s">
        <v>397</v>
      </c>
      <c r="E541" s="32"/>
      <c r="H541" s="29"/>
    </row>
    <row r="542" spans="1:8" ht="39.75" hidden="1" customHeight="1" x14ac:dyDescent="0.25">
      <c r="A542" s="276"/>
      <c r="B542" s="279"/>
      <c r="C542" s="292"/>
      <c r="D542" s="355"/>
      <c r="E542" s="108"/>
      <c r="H542" s="29"/>
    </row>
    <row r="543" spans="1:8" ht="14.45" hidden="1" customHeight="1" x14ac:dyDescent="0.25">
      <c r="A543" s="276"/>
      <c r="B543" s="279"/>
      <c r="C543" s="104"/>
      <c r="D543" s="105"/>
      <c r="E543" s="106"/>
      <c r="H543" s="29"/>
    </row>
    <row r="544" spans="1:8" ht="14.45" hidden="1" customHeight="1" x14ac:dyDescent="0.25">
      <c r="A544" s="276"/>
      <c r="B544" s="279"/>
      <c r="C544" s="104"/>
      <c r="D544" s="105"/>
      <c r="E544" s="106"/>
      <c r="H544" s="29"/>
    </row>
    <row r="545" spans="1:8" ht="14.45" hidden="1" customHeight="1" x14ac:dyDescent="0.25">
      <c r="A545" s="276"/>
      <c r="B545" s="279"/>
      <c r="C545" s="104"/>
      <c r="D545" s="109"/>
      <c r="E545" s="110"/>
      <c r="H545" s="29"/>
    </row>
    <row r="546" spans="1:8" ht="14.45" hidden="1" customHeight="1" x14ac:dyDescent="0.25">
      <c r="A546" s="276"/>
      <c r="B546" s="279"/>
      <c r="C546" s="104"/>
      <c r="D546" s="111"/>
      <c r="E546" s="112"/>
      <c r="H546" s="29"/>
    </row>
    <row r="547" spans="1:8" ht="14.45" hidden="1" customHeight="1" x14ac:dyDescent="0.25">
      <c r="A547" s="276"/>
      <c r="B547" s="279"/>
      <c r="C547" s="104"/>
      <c r="D547" s="111"/>
      <c r="E547" s="112"/>
      <c r="H547" s="29"/>
    </row>
    <row r="548" spans="1:8" ht="39.75" hidden="1" customHeight="1" x14ac:dyDescent="0.25">
      <c r="A548" s="276"/>
      <c r="B548" s="279"/>
      <c r="C548" s="292"/>
      <c r="D548" s="355"/>
      <c r="E548" s="108"/>
      <c r="H548" s="29"/>
    </row>
    <row r="549" spans="1:8" ht="14.45" hidden="1" customHeight="1" x14ac:dyDescent="0.25">
      <c r="A549" s="276"/>
      <c r="B549" s="279"/>
      <c r="C549" s="104"/>
      <c r="D549" s="105"/>
      <c r="E549" s="106"/>
      <c r="H549" s="29"/>
    </row>
    <row r="550" spans="1:8" ht="14.45" hidden="1" customHeight="1" x14ac:dyDescent="0.25">
      <c r="A550" s="276"/>
      <c r="B550" s="279"/>
      <c r="C550" s="104"/>
      <c r="D550" s="105"/>
      <c r="E550" s="106"/>
      <c r="F550" s="56"/>
      <c r="H550" s="29"/>
    </row>
    <row r="551" spans="1:8" ht="14.45" hidden="1" customHeight="1" x14ac:dyDescent="0.25">
      <c r="A551" s="276"/>
      <c r="B551" s="279"/>
      <c r="C551" s="104"/>
      <c r="D551" s="105"/>
      <c r="E551" s="106"/>
      <c r="F551" s="56"/>
      <c r="H551" s="29"/>
    </row>
    <row r="552" spans="1:8" ht="14.45" hidden="1" customHeight="1" x14ac:dyDescent="0.25">
      <c r="A552" s="276"/>
      <c r="B552" s="279"/>
      <c r="C552" s="104"/>
      <c r="D552" s="105"/>
      <c r="E552" s="106"/>
      <c r="H552" s="29"/>
    </row>
    <row r="553" spans="1:8" ht="14.45" hidden="1" customHeight="1" x14ac:dyDescent="0.25">
      <c r="A553" s="276"/>
      <c r="B553" s="279"/>
      <c r="C553" s="104"/>
      <c r="D553" s="105"/>
      <c r="E553" s="103"/>
      <c r="H553" s="29"/>
    </row>
    <row r="554" spans="1:8" ht="15" customHeight="1" x14ac:dyDescent="0.25">
      <c r="A554" s="277"/>
      <c r="B554" s="280"/>
      <c r="C554" s="289" t="s">
        <v>327</v>
      </c>
      <c r="D554" s="297"/>
      <c r="E554" s="25">
        <f>IF(OR(F524="Salah isi",F530="Salah isi",F536="Salah Isi"),0,(E524+2*E530+2*E536)/5)</f>
        <v>0</v>
      </c>
      <c r="H554" s="29"/>
    </row>
    <row r="555" spans="1:8" ht="15" customHeight="1" x14ac:dyDescent="0.25">
      <c r="A555" s="26"/>
      <c r="B555" s="26"/>
      <c r="C555" s="27"/>
      <c r="D555" s="63"/>
      <c r="E555" s="28"/>
      <c r="H555" s="29"/>
    </row>
    <row r="556" spans="1:8" ht="53.45" customHeight="1" x14ac:dyDescent="0.25">
      <c r="A556" s="275">
        <v>45</v>
      </c>
      <c r="B556" s="278" t="s">
        <v>399</v>
      </c>
      <c r="C556" s="281" t="s">
        <v>400</v>
      </c>
      <c r="D556" s="281"/>
      <c r="E556" s="46"/>
      <c r="H556" s="212"/>
    </row>
    <row r="557" spans="1:8" ht="33.6" customHeight="1" x14ac:dyDescent="0.25">
      <c r="A557" s="276"/>
      <c r="B557" s="279"/>
      <c r="C557" s="282" t="s">
        <v>401</v>
      </c>
      <c r="D557" s="283"/>
      <c r="E557" s="57">
        <v>0</v>
      </c>
      <c r="F557" s="8" t="s">
        <v>93</v>
      </c>
      <c r="G557" s="37"/>
      <c r="H557" s="29"/>
    </row>
    <row r="558" spans="1:8" ht="30.6" hidden="1" customHeight="1" x14ac:dyDescent="0.25">
      <c r="A558" s="276"/>
      <c r="B558" s="279"/>
      <c r="C558" s="164"/>
      <c r="D558" s="164"/>
      <c r="E558" s="153"/>
      <c r="G558" s="37"/>
      <c r="H558" s="29"/>
    </row>
    <row r="559" spans="1:8" ht="14.45" hidden="1" customHeight="1" x14ac:dyDescent="0.25">
      <c r="A559" s="276"/>
      <c r="B559" s="279"/>
      <c r="C559" s="164"/>
      <c r="D559" s="164"/>
      <c r="E559" s="153"/>
      <c r="G559" s="37"/>
      <c r="H559" s="29"/>
    </row>
    <row r="560" spans="1:8" ht="14.45" hidden="1" customHeight="1" x14ac:dyDescent="0.25">
      <c r="A560" s="276"/>
      <c r="B560" s="279"/>
      <c r="C560" s="145"/>
      <c r="D560" s="159"/>
      <c r="E560" s="165"/>
      <c r="G560" s="43"/>
      <c r="H560" s="29"/>
    </row>
    <row r="561" spans="1:8" ht="14.45" hidden="1" customHeight="1" x14ac:dyDescent="0.25">
      <c r="A561" s="276"/>
      <c r="B561" s="279"/>
      <c r="C561" s="145"/>
      <c r="D561" s="159"/>
      <c r="E561" s="165"/>
      <c r="G561" s="43"/>
      <c r="H561" s="29"/>
    </row>
    <row r="562" spans="1:8" ht="15" customHeight="1" x14ac:dyDescent="0.25">
      <c r="A562" s="277"/>
      <c r="B562" s="280"/>
      <c r="C562" s="301" t="s">
        <v>33</v>
      </c>
      <c r="D562" s="302"/>
      <c r="E562" s="25">
        <f>IF(E557&gt;3,4,IF(E557&gt;=2,3,2))</f>
        <v>2</v>
      </c>
      <c r="H562" s="29"/>
    </row>
    <row r="563" spans="1:8" ht="15" customHeight="1" x14ac:dyDescent="0.25">
      <c r="C563" s="39"/>
      <c r="D563" s="69"/>
      <c r="H563" s="39"/>
    </row>
    <row r="564" spans="1:8" ht="65.099999999999994" customHeight="1" x14ac:dyDescent="0.25">
      <c r="A564" s="275">
        <v>46</v>
      </c>
      <c r="B564" s="278" t="s">
        <v>402</v>
      </c>
      <c r="C564" s="287" t="s">
        <v>403</v>
      </c>
      <c r="D564" s="288"/>
      <c r="E564" s="21"/>
      <c r="F564" s="8" t="str">
        <f>IF(OR(E564&lt;1,E564&gt;4),"Salah isi","judge")</f>
        <v>Salah isi</v>
      </c>
      <c r="H564" s="263"/>
    </row>
    <row r="565" spans="1:8" x14ac:dyDescent="0.25">
      <c r="A565" s="276"/>
      <c r="B565" s="279"/>
      <c r="C565" s="22">
        <v>4</v>
      </c>
      <c r="D565" s="61" t="s">
        <v>404</v>
      </c>
      <c r="E565" s="23"/>
      <c r="H565" s="29"/>
    </row>
    <row r="566" spans="1:8" ht="29.1" customHeight="1" x14ac:dyDescent="0.25">
      <c r="A566" s="276"/>
      <c r="B566" s="279"/>
      <c r="C566" s="22">
        <v>3</v>
      </c>
      <c r="D566" s="61" t="s">
        <v>405</v>
      </c>
      <c r="E566" s="23"/>
      <c r="H566" s="29"/>
    </row>
    <row r="567" spans="1:8" ht="29.1" customHeight="1" x14ac:dyDescent="0.25">
      <c r="A567" s="276"/>
      <c r="B567" s="279"/>
      <c r="C567" s="22">
        <v>2</v>
      </c>
      <c r="D567" s="61" t="s">
        <v>406</v>
      </c>
      <c r="E567" s="23"/>
      <c r="H567" s="29"/>
    </row>
    <row r="568" spans="1:8" ht="29.1" customHeight="1" x14ac:dyDescent="0.25">
      <c r="A568" s="276"/>
      <c r="B568" s="279"/>
      <c r="C568" s="22">
        <v>1</v>
      </c>
      <c r="D568" s="61" t="s">
        <v>407</v>
      </c>
      <c r="E568" s="23"/>
      <c r="H568" s="29"/>
    </row>
    <row r="569" spans="1:8" x14ac:dyDescent="0.25">
      <c r="A569" s="276"/>
      <c r="B569" s="279"/>
      <c r="C569" s="22">
        <v>0</v>
      </c>
      <c r="D569" s="61" t="s">
        <v>72</v>
      </c>
      <c r="E569" s="24"/>
      <c r="H569" s="29"/>
    </row>
    <row r="570" spans="1:8" ht="15" customHeight="1" x14ac:dyDescent="0.25">
      <c r="A570" s="277"/>
      <c r="B570" s="280"/>
      <c r="C570" s="289" t="s">
        <v>33</v>
      </c>
      <c r="D570" s="290"/>
      <c r="E570" s="25">
        <f>IF(F564="Salah isi",0,E564)</f>
        <v>0</v>
      </c>
      <c r="H570" s="29"/>
    </row>
    <row r="571" spans="1:8" ht="15" customHeight="1" x14ac:dyDescent="0.25">
      <c r="A571" s="26"/>
      <c r="B571" s="26"/>
      <c r="C571" s="27"/>
      <c r="D571" s="63"/>
      <c r="E571" s="28"/>
      <c r="H571" s="29"/>
    </row>
    <row r="572" spans="1:8" ht="180" customHeight="1" x14ac:dyDescent="0.25">
      <c r="A572" s="275">
        <v>47</v>
      </c>
      <c r="B572" s="278" t="s">
        <v>408</v>
      </c>
      <c r="C572" s="287" t="s">
        <v>409</v>
      </c>
      <c r="D572" s="294"/>
      <c r="E572" s="114"/>
      <c r="H572" s="263"/>
    </row>
    <row r="573" spans="1:8" ht="15.75" customHeight="1" x14ac:dyDescent="0.25">
      <c r="A573" s="276"/>
      <c r="B573" s="279"/>
      <c r="C573" s="343" t="s">
        <v>410</v>
      </c>
      <c r="D573" s="71" t="s">
        <v>411</v>
      </c>
      <c r="E573" s="75">
        <v>0.6</v>
      </c>
      <c r="F573" s="8" t="s">
        <v>93</v>
      </c>
      <c r="H573" s="29"/>
    </row>
    <row r="574" spans="1:8" ht="15" customHeight="1" x14ac:dyDescent="0.25">
      <c r="A574" s="276"/>
      <c r="B574" s="279"/>
      <c r="C574" s="344"/>
      <c r="D574" s="71" t="s">
        <v>412</v>
      </c>
      <c r="E574" s="75">
        <v>0.4</v>
      </c>
      <c r="F574" s="8" t="s">
        <v>93</v>
      </c>
      <c r="H574" s="29"/>
    </row>
    <row r="575" spans="1:8" ht="15" customHeight="1" x14ac:dyDescent="0.25">
      <c r="A575" s="276"/>
      <c r="B575" s="279"/>
      <c r="C575" s="344"/>
      <c r="D575" s="71" t="s">
        <v>413</v>
      </c>
      <c r="E575" s="75">
        <v>0.2</v>
      </c>
      <c r="F575" s="8" t="s">
        <v>93</v>
      </c>
      <c r="H575" s="29"/>
    </row>
    <row r="576" spans="1:8" ht="15" customHeight="1" x14ac:dyDescent="0.25">
      <c r="A576" s="276"/>
      <c r="B576" s="279"/>
      <c r="C576" s="344"/>
      <c r="D576" s="71" t="s">
        <v>414</v>
      </c>
      <c r="E576" s="75">
        <v>0.1</v>
      </c>
      <c r="F576" s="8" t="s">
        <v>93</v>
      </c>
      <c r="H576" s="29"/>
    </row>
    <row r="577" spans="1:8" ht="15" customHeight="1" x14ac:dyDescent="0.25">
      <c r="A577" s="276"/>
      <c r="B577" s="279"/>
      <c r="C577" s="345"/>
      <c r="D577" s="72" t="s">
        <v>415</v>
      </c>
      <c r="E577" s="55">
        <f>IF((4*E573+3*E574+2*E575+E576)/4&gt;100%,0,(4*E573+3*E574+2*E575+E576)/4)</f>
        <v>0</v>
      </c>
      <c r="H577" s="29"/>
    </row>
    <row r="578" spans="1:8" ht="15.75" customHeight="1" x14ac:dyDescent="0.25">
      <c r="A578" s="276"/>
      <c r="B578" s="279"/>
      <c r="C578" s="343" t="s">
        <v>416</v>
      </c>
      <c r="D578" s="71" t="s">
        <v>411</v>
      </c>
      <c r="E578" s="75">
        <v>0.35</v>
      </c>
      <c r="F578" s="8" t="s">
        <v>93</v>
      </c>
      <c r="H578" s="29"/>
    </row>
    <row r="579" spans="1:8" ht="15" customHeight="1" x14ac:dyDescent="0.25">
      <c r="A579" s="276"/>
      <c r="B579" s="279"/>
      <c r="C579" s="344"/>
      <c r="D579" s="71" t="s">
        <v>412</v>
      </c>
      <c r="E579" s="75">
        <v>0.3</v>
      </c>
      <c r="F579" s="8" t="s">
        <v>93</v>
      </c>
      <c r="H579" s="29"/>
    </row>
    <row r="580" spans="1:8" ht="15" customHeight="1" x14ac:dyDescent="0.25">
      <c r="A580" s="276"/>
      <c r="B580" s="279"/>
      <c r="C580" s="344"/>
      <c r="D580" s="71" t="s">
        <v>413</v>
      </c>
      <c r="E580" s="75">
        <v>0.25</v>
      </c>
      <c r="F580" s="8" t="s">
        <v>93</v>
      </c>
      <c r="H580" s="29"/>
    </row>
    <row r="581" spans="1:8" ht="15" customHeight="1" x14ac:dyDescent="0.25">
      <c r="A581" s="276"/>
      <c r="B581" s="279"/>
      <c r="C581" s="344"/>
      <c r="D581" s="71" t="s">
        <v>414</v>
      </c>
      <c r="E581" s="75">
        <v>0.2</v>
      </c>
      <c r="F581" s="8" t="s">
        <v>93</v>
      </c>
      <c r="H581" s="29"/>
    </row>
    <row r="582" spans="1:8" ht="15" customHeight="1" x14ac:dyDescent="0.25">
      <c r="A582" s="276"/>
      <c r="B582" s="279"/>
      <c r="C582" s="345"/>
      <c r="D582" s="72" t="s">
        <v>417</v>
      </c>
      <c r="E582" s="55">
        <f>IF((4*E578+3*E579+2*E580+E581)/4&gt;100%,0,(4*E578+3*E579+2*E580+E581)/4)</f>
        <v>0.75</v>
      </c>
      <c r="H582" s="29"/>
    </row>
    <row r="583" spans="1:8" ht="15.75" customHeight="1" x14ac:dyDescent="0.25">
      <c r="A583" s="276"/>
      <c r="B583" s="279"/>
      <c r="C583" s="343" t="s">
        <v>418</v>
      </c>
      <c r="D583" s="71" t="s">
        <v>411</v>
      </c>
      <c r="E583" s="75">
        <v>0.3</v>
      </c>
      <c r="F583" s="8" t="s">
        <v>93</v>
      </c>
      <c r="H583" s="29"/>
    </row>
    <row r="584" spans="1:8" ht="15" customHeight="1" x14ac:dyDescent="0.25">
      <c r="A584" s="276"/>
      <c r="B584" s="279"/>
      <c r="C584" s="344"/>
      <c r="D584" s="71" t="s">
        <v>412</v>
      </c>
      <c r="E584" s="75">
        <v>0.4</v>
      </c>
      <c r="F584" s="8" t="s">
        <v>93</v>
      </c>
      <c r="H584" s="29"/>
    </row>
    <row r="585" spans="1:8" ht="15" customHeight="1" x14ac:dyDescent="0.25">
      <c r="A585" s="276"/>
      <c r="B585" s="279"/>
      <c r="C585" s="344"/>
      <c r="D585" s="71" t="s">
        <v>413</v>
      </c>
      <c r="E585" s="75">
        <v>0.2</v>
      </c>
      <c r="F585" s="8" t="s">
        <v>93</v>
      </c>
      <c r="H585" s="29"/>
    </row>
    <row r="586" spans="1:8" ht="15" customHeight="1" x14ac:dyDescent="0.25">
      <c r="A586" s="276"/>
      <c r="B586" s="279"/>
      <c r="C586" s="344"/>
      <c r="D586" s="71" t="s">
        <v>414</v>
      </c>
      <c r="E586" s="75">
        <v>0.1</v>
      </c>
      <c r="F586" s="8" t="s">
        <v>93</v>
      </c>
      <c r="H586" s="29"/>
    </row>
    <row r="587" spans="1:8" ht="15" customHeight="1" x14ac:dyDescent="0.25">
      <c r="A587" s="276"/>
      <c r="B587" s="279"/>
      <c r="C587" s="345"/>
      <c r="D587" s="72" t="s">
        <v>419</v>
      </c>
      <c r="E587" s="55">
        <f>IF((4*E583+3*E584+2*E585+E586)/4&gt;100%,0,(4*E583+3*E584+2*E585+E586)/4)</f>
        <v>0.72500000000000009</v>
      </c>
      <c r="H587" s="29"/>
    </row>
    <row r="588" spans="1:8" ht="15.75" customHeight="1" x14ac:dyDescent="0.25">
      <c r="A588" s="276"/>
      <c r="B588" s="279"/>
      <c r="C588" s="364" t="s">
        <v>420</v>
      </c>
      <c r="D588" s="71" t="s">
        <v>411</v>
      </c>
      <c r="E588" s="75">
        <v>0.35</v>
      </c>
      <c r="F588" s="8" t="s">
        <v>93</v>
      </c>
      <c r="H588" s="29"/>
    </row>
    <row r="589" spans="1:8" ht="15" customHeight="1" x14ac:dyDescent="0.25">
      <c r="A589" s="276"/>
      <c r="B589" s="279"/>
      <c r="C589" s="365"/>
      <c r="D589" s="71" t="s">
        <v>412</v>
      </c>
      <c r="E589" s="75">
        <v>0.3</v>
      </c>
      <c r="F589" s="8" t="s">
        <v>93</v>
      </c>
      <c r="H589" s="29"/>
    </row>
    <row r="590" spans="1:8" ht="15" customHeight="1" x14ac:dyDescent="0.25">
      <c r="A590" s="276"/>
      <c r="B590" s="279"/>
      <c r="C590" s="365"/>
      <c r="D590" s="71" t="s">
        <v>413</v>
      </c>
      <c r="E590" s="75">
        <v>0.25</v>
      </c>
      <c r="F590" s="8" t="s">
        <v>93</v>
      </c>
      <c r="H590" s="29"/>
    </row>
    <row r="591" spans="1:8" ht="15" customHeight="1" x14ac:dyDescent="0.25">
      <c r="A591" s="276"/>
      <c r="B591" s="279"/>
      <c r="C591" s="365"/>
      <c r="D591" s="71" t="s">
        <v>414</v>
      </c>
      <c r="E591" s="75">
        <v>0.15</v>
      </c>
      <c r="F591" s="8" t="s">
        <v>93</v>
      </c>
      <c r="H591" s="29"/>
    </row>
    <row r="592" spans="1:8" ht="15" customHeight="1" x14ac:dyDescent="0.25">
      <c r="A592" s="276"/>
      <c r="B592" s="279"/>
      <c r="C592" s="366"/>
      <c r="D592" s="72" t="s">
        <v>421</v>
      </c>
      <c r="E592" s="55">
        <f>IF((4*E588+3*E589+2*E590+E591)/4&gt;100%,0,(4*E588+3*E589+2*E590+E591)/4)</f>
        <v>0.73749999999999993</v>
      </c>
      <c r="H592" s="29"/>
    </row>
    <row r="593" spans="1:8" ht="15.75" customHeight="1" x14ac:dyDescent="0.25">
      <c r="A593" s="276"/>
      <c r="B593" s="279"/>
      <c r="C593" s="343" t="s">
        <v>422</v>
      </c>
      <c r="D593" s="71" t="s">
        <v>411</v>
      </c>
      <c r="E593" s="75">
        <v>0.4</v>
      </c>
      <c r="F593" s="8" t="s">
        <v>93</v>
      </c>
      <c r="H593" s="29"/>
    </row>
    <row r="594" spans="1:8" ht="15" customHeight="1" x14ac:dyDescent="0.25">
      <c r="A594" s="276"/>
      <c r="B594" s="279"/>
      <c r="C594" s="344"/>
      <c r="D594" s="71" t="s">
        <v>412</v>
      </c>
      <c r="E594" s="75">
        <v>0.3</v>
      </c>
      <c r="F594" s="8" t="s">
        <v>93</v>
      </c>
      <c r="H594" s="29"/>
    </row>
    <row r="595" spans="1:8" ht="15" customHeight="1" x14ac:dyDescent="0.25">
      <c r="A595" s="276"/>
      <c r="B595" s="279"/>
      <c r="C595" s="344"/>
      <c r="D595" s="71" t="s">
        <v>413</v>
      </c>
      <c r="E595" s="75">
        <v>0.25</v>
      </c>
      <c r="F595" s="8" t="s">
        <v>93</v>
      </c>
      <c r="H595" s="29"/>
    </row>
    <row r="596" spans="1:8" ht="15" customHeight="1" x14ac:dyDescent="0.25">
      <c r="A596" s="276"/>
      <c r="B596" s="279"/>
      <c r="C596" s="344"/>
      <c r="D596" s="71" t="s">
        <v>414</v>
      </c>
      <c r="E596" s="75">
        <v>0.05</v>
      </c>
      <c r="F596" s="8" t="s">
        <v>93</v>
      </c>
      <c r="H596" s="29"/>
    </row>
    <row r="597" spans="1:8" ht="15" customHeight="1" x14ac:dyDescent="0.25">
      <c r="A597" s="276"/>
      <c r="B597" s="279"/>
      <c r="C597" s="345"/>
      <c r="D597" s="72" t="s">
        <v>423</v>
      </c>
      <c r="E597" s="55">
        <f>IF((4*E593+3*E594+2*E595+E596)/4&gt;100%,0,(4*E593+3*E594+2*E595+E596)/4)</f>
        <v>0.76249999999999996</v>
      </c>
      <c r="H597" s="29"/>
    </row>
    <row r="598" spans="1:8" x14ac:dyDescent="0.25">
      <c r="A598" s="276"/>
      <c r="B598" s="279"/>
      <c r="C598" s="350" t="s">
        <v>424</v>
      </c>
      <c r="D598" s="351"/>
      <c r="E598" s="75">
        <f>(E577+E582+E587+E592+E597)/5</f>
        <v>0.59499999999999997</v>
      </c>
      <c r="H598" s="29"/>
    </row>
    <row r="599" spans="1:8" ht="14.45" hidden="1" customHeight="1" x14ac:dyDescent="0.25">
      <c r="A599" s="276"/>
      <c r="B599" s="279"/>
      <c r="C599" s="198" t="s">
        <v>184</v>
      </c>
      <c r="D599" s="199">
        <v>0.25</v>
      </c>
      <c r="E599" s="151"/>
      <c r="H599" s="29"/>
    </row>
    <row r="600" spans="1:8" ht="14.45" hidden="1" customHeight="1" x14ac:dyDescent="0.25">
      <c r="A600" s="276"/>
      <c r="B600" s="279"/>
      <c r="C600" s="198" t="s">
        <v>185</v>
      </c>
      <c r="D600" s="199">
        <v>0.75</v>
      </c>
      <c r="E600" s="151"/>
      <c r="H600" s="29"/>
    </row>
    <row r="601" spans="1:8" ht="15" customHeight="1" x14ac:dyDescent="0.25">
      <c r="A601" s="276"/>
      <c r="B601" s="279"/>
      <c r="C601" s="282" t="s">
        <v>102</v>
      </c>
      <c r="D601" s="283"/>
      <c r="E601" s="113">
        <f>IF(E598&gt;=D600,4,IF(E598&gt;=D599,4/(D600-D599)*(E598-D599),0))</f>
        <v>2.76</v>
      </c>
      <c r="H601" s="29"/>
    </row>
    <row r="602" spans="1:8" ht="34.35" customHeight="1" x14ac:dyDescent="0.25">
      <c r="A602" s="276"/>
      <c r="B602" s="279"/>
      <c r="C602" s="295" t="s">
        <v>425</v>
      </c>
      <c r="D602" s="296"/>
      <c r="E602" s="33"/>
      <c r="F602" s="8" t="str">
        <f>IF(OR(ISBLANK(E602),E602&gt;4),"Salah isi","judge")</f>
        <v>Salah isi</v>
      </c>
      <c r="H602" s="29"/>
    </row>
    <row r="603" spans="1:8" ht="43.5" customHeight="1" x14ac:dyDescent="0.25">
      <c r="A603" s="276"/>
      <c r="B603" s="279"/>
      <c r="C603" s="30">
        <v>4</v>
      </c>
      <c r="D603" s="67" t="s">
        <v>426</v>
      </c>
      <c r="E603" s="31"/>
      <c r="F603" s="56"/>
      <c r="H603" s="29"/>
    </row>
    <row r="604" spans="1:8" ht="43.5" customHeight="1" x14ac:dyDescent="0.25">
      <c r="A604" s="276"/>
      <c r="B604" s="279"/>
      <c r="C604" s="30">
        <v>3</v>
      </c>
      <c r="D604" s="67" t="s">
        <v>427</v>
      </c>
      <c r="E604" s="31"/>
      <c r="F604" s="56"/>
      <c r="H604" s="29"/>
    </row>
    <row r="605" spans="1:8" ht="29.1" customHeight="1" x14ac:dyDescent="0.25">
      <c r="A605" s="276"/>
      <c r="B605" s="279"/>
      <c r="C605" s="30">
        <v>2</v>
      </c>
      <c r="D605" s="67" t="s">
        <v>428</v>
      </c>
      <c r="E605" s="31"/>
      <c r="F605" s="56"/>
      <c r="H605" s="29"/>
    </row>
    <row r="606" spans="1:8" ht="43.5" customHeight="1" x14ac:dyDescent="0.25">
      <c r="A606" s="276"/>
      <c r="B606" s="279"/>
      <c r="C606" s="30">
        <v>1</v>
      </c>
      <c r="D606" s="67" t="s">
        <v>429</v>
      </c>
      <c r="E606" s="31"/>
      <c r="F606" s="56"/>
      <c r="H606" s="29"/>
    </row>
    <row r="607" spans="1:8" ht="29.1" customHeight="1" x14ac:dyDescent="0.25">
      <c r="A607" s="276"/>
      <c r="B607" s="279"/>
      <c r="C607" s="30">
        <v>0</v>
      </c>
      <c r="D607" s="67" t="s">
        <v>430</v>
      </c>
      <c r="E607" s="32"/>
      <c r="F607" s="56"/>
      <c r="H607" s="29"/>
    </row>
    <row r="608" spans="1:8" x14ac:dyDescent="0.25">
      <c r="A608" s="276"/>
      <c r="B608" s="279"/>
      <c r="C608" s="282" t="s">
        <v>112</v>
      </c>
      <c r="D608" s="283"/>
      <c r="E608" s="113">
        <f>E602</f>
        <v>0</v>
      </c>
      <c r="H608" s="29"/>
    </row>
    <row r="609" spans="1:8" ht="15" customHeight="1" x14ac:dyDescent="0.25">
      <c r="A609" s="277"/>
      <c r="B609" s="280"/>
      <c r="C609" s="289" t="s">
        <v>73</v>
      </c>
      <c r="D609" s="297"/>
      <c r="E609" s="25">
        <f>IF(F602="Salah isi",0,(E601+2*E608)/3)</f>
        <v>0</v>
      </c>
      <c r="H609" s="29"/>
    </row>
    <row r="610" spans="1:8" ht="15" customHeight="1" x14ac:dyDescent="0.25">
      <c r="A610" s="26"/>
      <c r="B610" s="26"/>
      <c r="C610" s="27"/>
      <c r="D610" s="63"/>
      <c r="E610" s="28"/>
      <c r="H610" s="29"/>
    </row>
    <row r="611" spans="1:8" ht="125.1" customHeight="1" x14ac:dyDescent="0.25">
      <c r="A611" s="275">
        <v>48</v>
      </c>
      <c r="B611" s="278" t="s">
        <v>431</v>
      </c>
      <c r="C611" s="287" t="s">
        <v>432</v>
      </c>
      <c r="D611" s="294"/>
      <c r="E611" s="21">
        <v>0</v>
      </c>
      <c r="F611" s="8" t="str">
        <f>IF(OR(ISBLANK(E611),E611&gt;4),"Salah isi","judge")</f>
        <v>judge</v>
      </c>
      <c r="H611" s="212"/>
    </row>
    <row r="612" spans="1:8" ht="30" x14ac:dyDescent="0.25">
      <c r="A612" s="276"/>
      <c r="B612" s="279"/>
      <c r="C612" s="30">
        <v>4</v>
      </c>
      <c r="D612" s="65" t="s">
        <v>433</v>
      </c>
      <c r="E612" s="31"/>
      <c r="H612" s="29"/>
    </row>
    <row r="613" spans="1:8" ht="29.1" customHeight="1" x14ac:dyDescent="0.25">
      <c r="A613" s="276"/>
      <c r="B613" s="279"/>
      <c r="C613" s="30">
        <v>3</v>
      </c>
      <c r="D613" s="65" t="s">
        <v>434</v>
      </c>
      <c r="E613" s="31"/>
      <c r="H613" s="29"/>
    </row>
    <row r="614" spans="1:8" ht="29.1" customHeight="1" x14ac:dyDescent="0.25">
      <c r="A614" s="276"/>
      <c r="B614" s="279"/>
      <c r="C614" s="30">
        <v>2</v>
      </c>
      <c r="D614" s="65" t="s">
        <v>435</v>
      </c>
      <c r="E614" s="31"/>
      <c r="H614" s="29"/>
    </row>
    <row r="615" spans="1:8" ht="29.1" customHeight="1" x14ac:dyDescent="0.25">
      <c r="A615" s="276"/>
      <c r="B615" s="279"/>
      <c r="C615" s="30">
        <v>1</v>
      </c>
      <c r="D615" s="65" t="s">
        <v>436</v>
      </c>
      <c r="E615" s="31"/>
      <c r="H615" s="29"/>
    </row>
    <row r="616" spans="1:8" ht="30" x14ac:dyDescent="0.25">
      <c r="A616" s="276"/>
      <c r="B616" s="279"/>
      <c r="C616" s="30">
        <v>0</v>
      </c>
      <c r="D616" s="62" t="s">
        <v>437</v>
      </c>
      <c r="E616" s="32"/>
      <c r="H616" s="29"/>
    </row>
    <row r="617" spans="1:8" ht="15" customHeight="1" x14ac:dyDescent="0.25">
      <c r="A617" s="277"/>
      <c r="B617" s="280"/>
      <c r="C617" s="289" t="s">
        <v>33</v>
      </c>
      <c r="D617" s="297"/>
      <c r="E617" s="25">
        <f>IF(F611="Salah isi",0,E611)</f>
        <v>0</v>
      </c>
      <c r="H617" s="29"/>
    </row>
    <row r="618" spans="1:8" ht="15" customHeight="1" x14ac:dyDescent="0.25">
      <c r="A618" s="26"/>
      <c r="B618" s="26"/>
      <c r="C618" s="27"/>
      <c r="D618" s="63"/>
      <c r="E618" s="28"/>
      <c r="H618" s="29"/>
    </row>
    <row r="619" spans="1:8" ht="44.45" customHeight="1" x14ac:dyDescent="0.25">
      <c r="A619" s="275">
        <v>49</v>
      </c>
      <c r="B619" s="278" t="s">
        <v>438</v>
      </c>
      <c r="C619" s="281" t="s">
        <v>439</v>
      </c>
      <c r="D619" s="281"/>
      <c r="E619" s="46"/>
      <c r="H619" s="212"/>
    </row>
    <row r="620" spans="1:8" ht="34.5" customHeight="1" x14ac:dyDescent="0.25">
      <c r="A620" s="276"/>
      <c r="B620" s="279"/>
      <c r="C620" s="282" t="s">
        <v>440</v>
      </c>
      <c r="D620" s="283"/>
      <c r="E620" s="57">
        <v>6</v>
      </c>
      <c r="F620" s="8" t="s">
        <v>93</v>
      </c>
      <c r="G620" s="37"/>
      <c r="H620" s="29"/>
    </row>
    <row r="621" spans="1:8" x14ac:dyDescent="0.25">
      <c r="A621" s="276"/>
      <c r="B621" s="279"/>
      <c r="C621" s="282" t="s">
        <v>441</v>
      </c>
      <c r="D621" s="283"/>
      <c r="E621" s="57">
        <v>36</v>
      </c>
      <c r="F621" s="8" t="s">
        <v>93</v>
      </c>
      <c r="G621" s="37"/>
      <c r="H621" s="29"/>
    </row>
    <row r="622" spans="1:8" x14ac:dyDescent="0.25">
      <c r="A622" s="276"/>
      <c r="B622" s="279"/>
      <c r="C622" s="282" t="s">
        <v>442</v>
      </c>
      <c r="D622" s="283"/>
      <c r="E622" s="55">
        <f>IF(E621&gt;0,E620/E621,0)</f>
        <v>0.16666666666666666</v>
      </c>
      <c r="G622" s="37"/>
      <c r="H622" s="29"/>
    </row>
    <row r="623" spans="1:8" ht="14.45" hidden="1" customHeight="1" x14ac:dyDescent="0.25">
      <c r="A623" s="276"/>
      <c r="B623" s="279"/>
      <c r="C623" s="124" t="s">
        <v>151</v>
      </c>
      <c r="D623" s="156">
        <v>0.25</v>
      </c>
      <c r="E623" s="155"/>
      <c r="G623" s="43"/>
      <c r="H623" s="29"/>
    </row>
    <row r="624" spans="1:8" ht="15" customHeight="1" x14ac:dyDescent="0.25">
      <c r="A624" s="277"/>
      <c r="B624" s="280"/>
      <c r="C624" s="301" t="s">
        <v>33</v>
      </c>
      <c r="D624" s="302"/>
      <c r="E624" s="25">
        <f>IF(E622&gt;=D623,4,2+2/D623*E622)</f>
        <v>3.333333333333333</v>
      </c>
      <c r="H624" s="29"/>
    </row>
    <row r="625" spans="1:8" ht="15" customHeight="1" x14ac:dyDescent="0.25">
      <c r="C625" s="39"/>
      <c r="D625" s="69"/>
      <c r="H625" s="39"/>
    </row>
    <row r="626" spans="1:8" ht="45" hidden="1" customHeight="1" x14ac:dyDescent="0.25">
      <c r="A626" s="310"/>
      <c r="B626" s="307"/>
      <c r="C626" s="291"/>
      <c r="D626" s="291"/>
      <c r="E626" s="116"/>
      <c r="H626" s="212"/>
    </row>
    <row r="627" spans="1:8" ht="31.5" hidden="1" customHeight="1" x14ac:dyDescent="0.25">
      <c r="A627" s="311"/>
      <c r="B627" s="308"/>
      <c r="C627" s="292"/>
      <c r="D627" s="293"/>
      <c r="E627" s="117"/>
      <c r="G627" s="37"/>
      <c r="H627" s="29"/>
    </row>
    <row r="628" spans="1:8" ht="15" hidden="1" customHeight="1" x14ac:dyDescent="0.25">
      <c r="A628" s="311"/>
      <c r="B628" s="308"/>
      <c r="C628" s="292"/>
      <c r="D628" s="293"/>
      <c r="E628" s="117"/>
      <c r="G628" s="37"/>
      <c r="H628" s="29"/>
    </row>
    <row r="629" spans="1:8" ht="15" hidden="1" customHeight="1" x14ac:dyDescent="0.25">
      <c r="A629" s="311"/>
      <c r="B629" s="308"/>
      <c r="C629" s="292"/>
      <c r="D629" s="293"/>
      <c r="E629" s="192"/>
      <c r="G629" s="37"/>
      <c r="H629" s="29"/>
    </row>
    <row r="630" spans="1:8" ht="15" hidden="1" customHeight="1" x14ac:dyDescent="0.25">
      <c r="A630" s="311"/>
      <c r="B630" s="308"/>
      <c r="C630" s="124"/>
      <c r="D630" s="156"/>
      <c r="E630" s="155"/>
      <c r="G630" s="43"/>
      <c r="H630" s="29"/>
    </row>
    <row r="631" spans="1:8" ht="15" hidden="1" customHeight="1" x14ac:dyDescent="0.25">
      <c r="A631" s="312"/>
      <c r="B631" s="309"/>
      <c r="C631" s="313"/>
      <c r="D631" s="314"/>
      <c r="E631" s="118"/>
      <c r="H631" s="29"/>
    </row>
    <row r="632" spans="1:8" ht="15" hidden="1" customHeight="1" x14ac:dyDescent="0.25">
      <c r="C632" s="39"/>
      <c r="D632" s="69"/>
      <c r="H632" s="39"/>
    </row>
    <row r="633" spans="1:8" ht="126.6" customHeight="1" x14ac:dyDescent="0.25">
      <c r="A633" s="275">
        <v>50</v>
      </c>
      <c r="B633" s="278" t="s">
        <v>443</v>
      </c>
      <c r="C633" s="287" t="s">
        <v>444</v>
      </c>
      <c r="D633" s="288"/>
      <c r="E633" s="21">
        <v>0</v>
      </c>
      <c r="F633" s="8" t="str">
        <f>IF(OR(ISBLANK(E633),E633&gt;4),"Salah isi","judge")</f>
        <v>judge</v>
      </c>
      <c r="H633" s="263"/>
    </row>
    <row r="634" spans="1:8" x14ac:dyDescent="0.25">
      <c r="A634" s="276"/>
      <c r="B634" s="279"/>
      <c r="C634" s="30">
        <v>4</v>
      </c>
      <c r="D634" s="61" t="s">
        <v>445</v>
      </c>
      <c r="E634" s="31"/>
      <c r="H634" s="29"/>
    </row>
    <row r="635" spans="1:8" ht="29.1" customHeight="1" x14ac:dyDescent="0.25">
      <c r="A635" s="276"/>
      <c r="B635" s="279"/>
      <c r="C635" s="30">
        <v>3</v>
      </c>
      <c r="D635" s="61" t="s">
        <v>446</v>
      </c>
      <c r="E635" s="31"/>
      <c r="H635" s="29"/>
    </row>
    <row r="636" spans="1:8" ht="29.1" customHeight="1" x14ac:dyDescent="0.25">
      <c r="A636" s="276"/>
      <c r="B636" s="279"/>
      <c r="C636" s="30">
        <v>2</v>
      </c>
      <c r="D636" s="61" t="s">
        <v>447</v>
      </c>
      <c r="E636" s="31"/>
      <c r="H636" s="29"/>
    </row>
    <row r="637" spans="1:8" ht="29.1" customHeight="1" x14ac:dyDescent="0.25">
      <c r="A637" s="276"/>
      <c r="B637" s="279"/>
      <c r="C637" s="30">
        <v>1</v>
      </c>
      <c r="D637" s="61" t="s">
        <v>448</v>
      </c>
      <c r="E637" s="31"/>
      <c r="H637" s="29"/>
    </row>
    <row r="638" spans="1:8" x14ac:dyDescent="0.25">
      <c r="A638" s="276"/>
      <c r="B638" s="279"/>
      <c r="C638" s="30">
        <v>0</v>
      </c>
      <c r="D638" s="61" t="s">
        <v>449</v>
      </c>
      <c r="E638" s="32"/>
      <c r="H638" s="29"/>
    </row>
    <row r="639" spans="1:8" ht="15" customHeight="1" x14ac:dyDescent="0.25">
      <c r="A639" s="277"/>
      <c r="B639" s="280"/>
      <c r="C639" s="289" t="s">
        <v>33</v>
      </c>
      <c r="D639" s="297"/>
      <c r="E639" s="25">
        <f>IF(F633="Salah isi",0,E633)</f>
        <v>0</v>
      </c>
      <c r="H639" s="29"/>
    </row>
    <row r="640" spans="1:8" ht="15" customHeight="1" x14ac:dyDescent="0.25">
      <c r="A640" s="26"/>
      <c r="B640" s="26"/>
      <c r="C640" s="27"/>
      <c r="D640" s="63"/>
      <c r="E640" s="28"/>
      <c r="H640" s="29"/>
    </row>
    <row r="641" spans="1:8" ht="50.1" customHeight="1" x14ac:dyDescent="0.25">
      <c r="A641" s="275">
        <v>51</v>
      </c>
      <c r="B641" s="278" t="s">
        <v>450</v>
      </c>
      <c r="C641" s="281" t="s">
        <v>451</v>
      </c>
      <c r="D641" s="281"/>
      <c r="E641" s="46"/>
      <c r="H641" s="263"/>
    </row>
    <row r="642" spans="1:8" ht="35.450000000000003" customHeight="1" x14ac:dyDescent="0.25">
      <c r="A642" s="276"/>
      <c r="B642" s="279"/>
      <c r="C642" s="282" t="s">
        <v>452</v>
      </c>
      <c r="D642" s="283"/>
      <c r="E642" s="57">
        <v>6</v>
      </c>
      <c r="F642" s="8" t="s">
        <v>93</v>
      </c>
      <c r="G642" s="37"/>
      <c r="H642" s="29"/>
    </row>
    <row r="643" spans="1:8" ht="15" customHeight="1" x14ac:dyDescent="0.25">
      <c r="A643" s="276"/>
      <c r="B643" s="279"/>
      <c r="C643" s="282" t="s">
        <v>453</v>
      </c>
      <c r="D643" s="283"/>
      <c r="E643" s="57">
        <v>36</v>
      </c>
      <c r="F643" s="8" t="s">
        <v>93</v>
      </c>
      <c r="G643" s="37"/>
      <c r="H643" s="29"/>
    </row>
    <row r="644" spans="1:8" ht="15" customHeight="1" x14ac:dyDescent="0.25">
      <c r="A644" s="276"/>
      <c r="B644" s="279"/>
      <c r="C644" s="282" t="s">
        <v>454</v>
      </c>
      <c r="D644" s="283"/>
      <c r="E644" s="55">
        <f>IF(E643&gt;0,E642/E643,0)</f>
        <v>0.16666666666666666</v>
      </c>
      <c r="G644" s="43"/>
      <c r="H644" s="29"/>
    </row>
    <row r="645" spans="1:8" ht="14.45" hidden="1" customHeight="1" x14ac:dyDescent="0.25">
      <c r="A645" s="276"/>
      <c r="B645" s="279"/>
      <c r="C645" s="124" t="s">
        <v>151</v>
      </c>
      <c r="D645" s="156">
        <v>0.25</v>
      </c>
      <c r="E645" s="155"/>
      <c r="G645" s="43"/>
      <c r="H645" s="29"/>
    </row>
    <row r="646" spans="1:8" ht="15" customHeight="1" x14ac:dyDescent="0.25">
      <c r="A646" s="277"/>
      <c r="B646" s="280"/>
      <c r="C646" s="301" t="s">
        <v>33</v>
      </c>
      <c r="D646" s="302"/>
      <c r="E646" s="25">
        <f>IF(E644&gt;=D645,4,2+2/D645*E644)</f>
        <v>3.333333333333333</v>
      </c>
      <c r="H646" s="29"/>
    </row>
    <row r="647" spans="1:8" ht="15" customHeight="1" x14ac:dyDescent="0.25">
      <c r="C647" s="39"/>
      <c r="D647" s="69"/>
      <c r="H647" s="39"/>
    </row>
    <row r="648" spans="1:8" ht="95.1" customHeight="1" x14ac:dyDescent="0.25">
      <c r="A648" s="275">
        <v>52</v>
      </c>
      <c r="B648" s="278" t="s">
        <v>455</v>
      </c>
      <c r="C648" s="287" t="s">
        <v>456</v>
      </c>
      <c r="D648" s="288"/>
      <c r="E648" s="21">
        <v>1</v>
      </c>
      <c r="F648" s="8" t="str">
        <f>IF(OR(ISBLANK(E648),E648&gt;4),"Salah isi","judge")</f>
        <v>judge</v>
      </c>
      <c r="H648" s="263"/>
    </row>
    <row r="649" spans="1:8" x14ac:dyDescent="0.25">
      <c r="A649" s="276"/>
      <c r="B649" s="279"/>
      <c r="C649" s="22">
        <v>4</v>
      </c>
      <c r="D649" s="61" t="s">
        <v>457</v>
      </c>
      <c r="E649" s="23"/>
      <c r="H649" s="29"/>
    </row>
    <row r="650" spans="1:8" x14ac:dyDescent="0.25">
      <c r="A650" s="276"/>
      <c r="B650" s="279"/>
      <c r="C650" s="22">
        <v>3</v>
      </c>
      <c r="D650" s="61" t="s">
        <v>458</v>
      </c>
      <c r="E650" s="23"/>
      <c r="H650" s="29"/>
    </row>
    <row r="651" spans="1:8" x14ac:dyDescent="0.25">
      <c r="A651" s="276"/>
      <c r="B651" s="279"/>
      <c r="C651" s="22">
        <v>2</v>
      </c>
      <c r="D651" s="61" t="s">
        <v>459</v>
      </c>
      <c r="E651" s="23"/>
      <c r="H651" s="29"/>
    </row>
    <row r="652" spans="1:8" ht="29.1" customHeight="1" x14ac:dyDescent="0.25">
      <c r="A652" s="276"/>
      <c r="B652" s="279"/>
      <c r="C652" s="22">
        <v>1</v>
      </c>
      <c r="D652" s="61" t="s">
        <v>460</v>
      </c>
      <c r="E652" s="23"/>
      <c r="H652" s="29"/>
    </row>
    <row r="653" spans="1:8" x14ac:dyDescent="0.25">
      <c r="A653" s="276"/>
      <c r="B653" s="279"/>
      <c r="C653" s="22">
        <v>0</v>
      </c>
      <c r="D653" s="61" t="s">
        <v>461</v>
      </c>
      <c r="E653" s="24"/>
      <c r="H653" s="29"/>
    </row>
    <row r="654" spans="1:8" ht="15" customHeight="1" x14ac:dyDescent="0.25">
      <c r="A654" s="277"/>
      <c r="B654" s="280"/>
      <c r="C654" s="289" t="s">
        <v>33</v>
      </c>
      <c r="D654" s="290"/>
      <c r="E654" s="25">
        <f>IF(F648="Salah isi",0,E648)</f>
        <v>1</v>
      </c>
      <c r="H654" s="29"/>
    </row>
    <row r="655" spans="1:8" ht="15" customHeight="1" x14ac:dyDescent="0.25">
      <c r="A655" s="26"/>
      <c r="B655" s="26"/>
      <c r="C655" s="27"/>
      <c r="D655" s="63"/>
      <c r="E655" s="28"/>
      <c r="H655" s="29"/>
    </row>
    <row r="656" spans="1:8" ht="41.45" customHeight="1" x14ac:dyDescent="0.25">
      <c r="A656" s="275">
        <v>53</v>
      </c>
      <c r="B656" s="278"/>
      <c r="C656" s="287" t="s">
        <v>462</v>
      </c>
      <c r="D656" s="288"/>
      <c r="E656" s="46"/>
      <c r="H656" s="212"/>
    </row>
    <row r="657" spans="1:8" ht="14.45" customHeight="1" x14ac:dyDescent="0.25">
      <c r="A657" s="276"/>
      <c r="B657" s="279"/>
      <c r="C657" s="346" t="s">
        <v>463</v>
      </c>
      <c r="D657" s="347"/>
      <c r="E657" s="49">
        <v>12</v>
      </c>
      <c r="F657" s="8" t="s">
        <v>93</v>
      </c>
      <c r="H657" s="29"/>
    </row>
    <row r="658" spans="1:8" ht="14.25" customHeight="1" x14ac:dyDescent="0.25">
      <c r="A658" s="276"/>
      <c r="B658" s="279"/>
      <c r="C658" s="346" t="s">
        <v>464</v>
      </c>
      <c r="D658" s="347"/>
      <c r="E658" s="49">
        <v>14</v>
      </c>
      <c r="F658" s="8" t="s">
        <v>93</v>
      </c>
      <c r="H658" s="29"/>
    </row>
    <row r="659" spans="1:8" ht="14.45" customHeight="1" x14ac:dyDescent="0.25">
      <c r="A659" s="276"/>
      <c r="B659" s="279"/>
      <c r="C659" s="346" t="s">
        <v>465</v>
      </c>
      <c r="D659" s="347"/>
      <c r="E659" s="49">
        <v>68</v>
      </c>
      <c r="F659" s="8" t="s">
        <v>93</v>
      </c>
      <c r="H659" s="29"/>
    </row>
    <row r="660" spans="1:8" ht="14.45" customHeight="1" x14ac:dyDescent="0.25">
      <c r="A660" s="276"/>
      <c r="B660" s="279"/>
      <c r="C660" s="346" t="s">
        <v>466</v>
      </c>
      <c r="D660" s="347"/>
      <c r="E660" s="74" t="s">
        <v>467</v>
      </c>
      <c r="F660" s="8" t="s">
        <v>93</v>
      </c>
      <c r="H660" s="29"/>
    </row>
    <row r="661" spans="1:8" ht="14.45" customHeight="1" x14ac:dyDescent="0.25">
      <c r="A661" s="276"/>
      <c r="B661" s="279"/>
      <c r="C661" s="346" t="s">
        <v>468</v>
      </c>
      <c r="D661" s="347"/>
      <c r="E661" s="74" t="s">
        <v>469</v>
      </c>
      <c r="F661" s="8" t="s">
        <v>93</v>
      </c>
      <c r="H661" s="29"/>
    </row>
    <row r="662" spans="1:8" ht="14.45" customHeight="1" x14ac:dyDescent="0.25">
      <c r="A662" s="276"/>
      <c r="B662" s="279"/>
      <c r="C662" s="346" t="s">
        <v>470</v>
      </c>
      <c r="D662" s="347"/>
      <c r="E662" s="74" t="s">
        <v>471</v>
      </c>
      <c r="F662" s="8" t="s">
        <v>93</v>
      </c>
      <c r="H662" s="29"/>
    </row>
    <row r="663" spans="1:8" ht="14.45" customHeight="1" x14ac:dyDescent="0.25">
      <c r="A663" s="276"/>
      <c r="B663" s="279"/>
      <c r="C663" s="168" t="s">
        <v>472</v>
      </c>
      <c r="D663" s="166"/>
      <c r="E663" s="167">
        <f>IF(SUM(E657:E659)&gt;0,(E657*E660+E658*E661+E659*E662)/SUM(E657:E659),0)</f>
        <v>3.4712765957446812</v>
      </c>
      <c r="H663" s="29"/>
    </row>
    <row r="664" spans="1:8" ht="14.45" hidden="1" customHeight="1" x14ac:dyDescent="0.25">
      <c r="A664" s="276"/>
      <c r="B664" s="279"/>
      <c r="C664" s="169" t="s">
        <v>184</v>
      </c>
      <c r="D664" s="171">
        <v>2</v>
      </c>
      <c r="E664" s="170"/>
      <c r="H664" s="29"/>
    </row>
    <row r="665" spans="1:8" ht="14.45" hidden="1" customHeight="1" x14ac:dyDescent="0.25">
      <c r="A665" s="276"/>
      <c r="B665" s="279"/>
      <c r="C665" s="169" t="s">
        <v>185</v>
      </c>
      <c r="D665" s="171">
        <v>3.25</v>
      </c>
      <c r="E665" s="170"/>
      <c r="H665" s="29"/>
    </row>
    <row r="666" spans="1:8" ht="15" customHeight="1" x14ac:dyDescent="0.25">
      <c r="A666" s="277"/>
      <c r="B666" s="280"/>
      <c r="C666" s="289" t="s">
        <v>33</v>
      </c>
      <c r="D666" s="290"/>
      <c r="E666" s="25">
        <f>IF(E663&gt;=D665,4,IF(E663&gt;=D664,2/(D665-D664)*(E663-D664)+2,0))</f>
        <v>4</v>
      </c>
      <c r="H666" s="29"/>
    </row>
    <row r="667" spans="1:8" ht="15" customHeight="1" x14ac:dyDescent="0.25">
      <c r="A667" s="48"/>
      <c r="B667" s="48"/>
      <c r="C667" s="39"/>
      <c r="D667" s="69"/>
      <c r="H667" s="40"/>
    </row>
    <row r="668" spans="1:8" ht="47.25" customHeight="1" x14ac:dyDescent="0.25">
      <c r="A668" s="275">
        <v>54</v>
      </c>
      <c r="B668" s="278"/>
      <c r="C668" s="281" t="s">
        <v>473</v>
      </c>
      <c r="D668" s="281"/>
      <c r="E668" s="46"/>
      <c r="H668" s="212"/>
    </row>
    <row r="669" spans="1:8" x14ac:dyDescent="0.25">
      <c r="A669" s="276"/>
      <c r="B669" s="279"/>
      <c r="C669" s="282" t="s">
        <v>474</v>
      </c>
      <c r="D669" s="283"/>
      <c r="E669" s="57">
        <v>0</v>
      </c>
      <c r="F669" s="8" t="s">
        <v>93</v>
      </c>
      <c r="G669" s="37"/>
      <c r="H669" s="29"/>
    </row>
    <row r="670" spans="1:8" x14ac:dyDescent="0.25">
      <c r="A670" s="276"/>
      <c r="B670" s="279"/>
      <c r="C670" s="282" t="s">
        <v>475</v>
      </c>
      <c r="D670" s="283"/>
      <c r="E670" s="57">
        <v>0</v>
      </c>
      <c r="F670" s="8" t="s">
        <v>93</v>
      </c>
      <c r="G670" s="37"/>
      <c r="H670" s="29"/>
    </row>
    <row r="671" spans="1:8" x14ac:dyDescent="0.25">
      <c r="A671" s="276"/>
      <c r="B671" s="279"/>
      <c r="C671" s="282" t="s">
        <v>476</v>
      </c>
      <c r="D671" s="283"/>
      <c r="E671" s="57">
        <v>0</v>
      </c>
      <c r="F671" s="8" t="s">
        <v>93</v>
      </c>
      <c r="G671" s="37"/>
      <c r="H671" s="29"/>
    </row>
    <row r="672" spans="1:8" ht="15.75" customHeight="1" x14ac:dyDescent="0.25">
      <c r="A672" s="276"/>
      <c r="B672" s="279"/>
      <c r="C672" s="282" t="s">
        <v>200</v>
      </c>
      <c r="D672" s="283"/>
      <c r="E672" s="57">
        <v>218</v>
      </c>
      <c r="F672" s="8" t="s">
        <v>93</v>
      </c>
      <c r="G672" s="37"/>
      <c r="H672" s="29"/>
    </row>
    <row r="673" spans="1:8" x14ac:dyDescent="0.25">
      <c r="A673" s="276"/>
      <c r="B673" s="279"/>
      <c r="C673" s="282" t="s">
        <v>477</v>
      </c>
      <c r="D673" s="283"/>
      <c r="E673" s="53">
        <f>IF(E672&gt;0,E669/E672,0)</f>
        <v>0</v>
      </c>
      <c r="G673" s="41"/>
      <c r="H673" s="29"/>
    </row>
    <row r="674" spans="1:8" ht="15.75" customHeight="1" x14ac:dyDescent="0.25">
      <c r="A674" s="276"/>
      <c r="B674" s="279"/>
      <c r="C674" s="282" t="s">
        <v>478</v>
      </c>
      <c r="D674" s="283"/>
      <c r="E674" s="53">
        <f>IF(E672&gt;0,E670/E672,0)</f>
        <v>0</v>
      </c>
      <c r="G674" s="41"/>
      <c r="H674" s="29"/>
    </row>
    <row r="675" spans="1:8" ht="15.75" customHeight="1" x14ac:dyDescent="0.25">
      <c r="A675" s="276"/>
      <c r="B675" s="279"/>
      <c r="C675" s="282" t="s">
        <v>479</v>
      </c>
      <c r="D675" s="283"/>
      <c r="E675" s="53">
        <f>IF(E672&gt;0,E671/E672,0)</f>
        <v>0</v>
      </c>
      <c r="G675" s="41"/>
      <c r="H675" s="29"/>
    </row>
    <row r="676" spans="1:8" ht="15.75" hidden="1" customHeight="1" x14ac:dyDescent="0.25">
      <c r="A676" s="276"/>
      <c r="B676" s="279"/>
      <c r="C676" s="145" t="s">
        <v>98</v>
      </c>
      <c r="D676" s="123">
        <v>1E-3</v>
      </c>
      <c r="E676" s="122"/>
      <c r="G676" s="41"/>
      <c r="H676" s="29"/>
    </row>
    <row r="677" spans="1:8" ht="15.75" hidden="1" customHeight="1" x14ac:dyDescent="0.25">
      <c r="A677" s="276"/>
      <c r="B677" s="279"/>
      <c r="C677" s="145" t="s">
        <v>99</v>
      </c>
      <c r="D677" s="123">
        <v>0.01</v>
      </c>
      <c r="E677" s="122"/>
      <c r="G677" s="41"/>
      <c r="H677" s="29"/>
    </row>
    <row r="678" spans="1:8" ht="15.75" hidden="1" customHeight="1" x14ac:dyDescent="0.25">
      <c r="A678" s="276"/>
      <c r="B678" s="279"/>
      <c r="C678" s="145" t="s">
        <v>100</v>
      </c>
      <c r="D678" s="123">
        <v>0.02</v>
      </c>
      <c r="E678" s="122"/>
      <c r="G678" s="41"/>
      <c r="H678" s="29"/>
    </row>
    <row r="679" spans="1:8" ht="15.75" hidden="1" customHeight="1" x14ac:dyDescent="0.25">
      <c r="A679" s="276"/>
      <c r="B679" s="279"/>
      <c r="C679" s="124"/>
      <c r="D679" s="125" t="s">
        <v>231</v>
      </c>
      <c r="E679" s="126" t="str">
        <f>IF(E673&gt;=D676,"YES","NO")</f>
        <v>NO</v>
      </c>
      <c r="G679" s="41"/>
      <c r="H679" s="29"/>
    </row>
    <row r="680" spans="1:8" ht="15.75" hidden="1" customHeight="1" x14ac:dyDescent="0.25">
      <c r="A680" s="276"/>
      <c r="B680" s="279"/>
      <c r="C680" s="124"/>
      <c r="D680" s="125" t="s">
        <v>232</v>
      </c>
      <c r="E680" s="126" t="str">
        <f>IF(AND(E673&lt;D676,E674&gt;=D677),"YES","NO")</f>
        <v>NO</v>
      </c>
      <c r="G680" s="41"/>
      <c r="H680" s="29"/>
    </row>
    <row r="681" spans="1:8" ht="15.75" hidden="1" customHeight="1" x14ac:dyDescent="0.25">
      <c r="A681" s="276"/>
      <c r="B681" s="279"/>
      <c r="C681" s="124"/>
      <c r="D681" s="125" t="s">
        <v>233</v>
      </c>
      <c r="E681" s="126" t="str">
        <f>IF(OR(AND(E673&gt;0,E673&lt;D676,E674=0),AND(E674&gt;0,E674&lt;D677,E673=0),AND(E673&gt;0,E673&lt;D676,E674&gt;0,E674&lt;D677)),"YES","NO")</f>
        <v>NO</v>
      </c>
      <c r="G681" s="41"/>
      <c r="H681" s="29"/>
    </row>
    <row r="682" spans="1:8" ht="15.75" hidden="1" customHeight="1" x14ac:dyDescent="0.25">
      <c r="A682" s="276"/>
      <c r="B682" s="279"/>
      <c r="C682" s="124"/>
      <c r="D682" s="125" t="s">
        <v>480</v>
      </c>
      <c r="E682" s="126" t="str">
        <f>IF(AND(E673=0,E674=0,E675&gt;=D678),"YES","NO")</f>
        <v>NO</v>
      </c>
      <c r="G682" s="41"/>
      <c r="H682" s="29"/>
    </row>
    <row r="683" spans="1:8" ht="15.75" hidden="1" customHeight="1" x14ac:dyDescent="0.25">
      <c r="A683" s="276"/>
      <c r="B683" s="279"/>
      <c r="C683" s="124"/>
      <c r="D683" s="125" t="s">
        <v>481</v>
      </c>
      <c r="E683" s="126" t="str">
        <f>IF(AND(E673=0,E674=0,E675&lt;D678),"YES","NO")</f>
        <v>YES</v>
      </c>
      <c r="G683" s="41"/>
      <c r="H683" s="29"/>
    </row>
    <row r="684" spans="1:8" ht="15" customHeight="1" x14ac:dyDescent="0.25">
      <c r="A684" s="277"/>
      <c r="B684" s="280"/>
      <c r="C684" s="301" t="s">
        <v>33</v>
      </c>
      <c r="D684" s="302"/>
      <c r="E684" s="25">
        <f>IF(E679="YES",4,IF(E680="YES",3+E673/D676,IF(E681="YES",2+2*E673/D676+E674/D677-(E673*E674)/(D676*D677),IF(E682="YES",2,2*E675/D678))))</f>
        <v>0</v>
      </c>
      <c r="G684" s="38"/>
      <c r="H684" s="29"/>
    </row>
    <row r="685" spans="1:8" ht="15" customHeight="1" x14ac:dyDescent="0.25">
      <c r="C685" s="39"/>
      <c r="D685" s="69"/>
      <c r="H685" s="40"/>
    </row>
    <row r="686" spans="1:8" ht="47.25" customHeight="1" x14ac:dyDescent="0.25">
      <c r="A686" s="275">
        <v>55</v>
      </c>
      <c r="B686" s="278"/>
      <c r="C686" s="281" t="s">
        <v>482</v>
      </c>
      <c r="D686" s="281"/>
      <c r="E686" s="46"/>
      <c r="H686" s="212"/>
    </row>
    <row r="687" spans="1:8" ht="15" customHeight="1" x14ac:dyDescent="0.25">
      <c r="A687" s="276"/>
      <c r="B687" s="279"/>
      <c r="C687" s="282" t="s">
        <v>483</v>
      </c>
      <c r="D687" s="283"/>
      <c r="E687" s="57">
        <v>0</v>
      </c>
      <c r="F687" s="8" t="s">
        <v>93</v>
      </c>
      <c r="G687" s="37"/>
      <c r="H687" s="29"/>
    </row>
    <row r="688" spans="1:8" ht="15" customHeight="1" x14ac:dyDescent="0.25">
      <c r="A688" s="276"/>
      <c r="B688" s="279"/>
      <c r="C688" s="282" t="s">
        <v>484</v>
      </c>
      <c r="D688" s="283"/>
      <c r="E688" s="57">
        <v>0</v>
      </c>
      <c r="F688" s="8" t="s">
        <v>93</v>
      </c>
      <c r="G688" s="37"/>
      <c r="H688" s="29"/>
    </row>
    <row r="689" spans="1:8" ht="15" customHeight="1" x14ac:dyDescent="0.25">
      <c r="A689" s="276"/>
      <c r="B689" s="279"/>
      <c r="C689" s="282" t="s">
        <v>485</v>
      </c>
      <c r="D689" s="283"/>
      <c r="E689" s="57">
        <v>3</v>
      </c>
      <c r="F689" s="8" t="s">
        <v>93</v>
      </c>
      <c r="G689" s="37"/>
      <c r="H689" s="29"/>
    </row>
    <row r="690" spans="1:8" ht="15.75" customHeight="1" x14ac:dyDescent="0.25">
      <c r="A690" s="276"/>
      <c r="B690" s="279"/>
      <c r="C690" s="282" t="s">
        <v>200</v>
      </c>
      <c r="D690" s="283"/>
      <c r="E690" s="57">
        <v>218</v>
      </c>
      <c r="F690" s="8" t="s">
        <v>93</v>
      </c>
      <c r="G690" s="37"/>
      <c r="H690" s="29"/>
    </row>
    <row r="691" spans="1:8" ht="15" customHeight="1" x14ac:dyDescent="0.25">
      <c r="A691" s="276"/>
      <c r="B691" s="279"/>
      <c r="C691" s="282" t="s">
        <v>477</v>
      </c>
      <c r="D691" s="283"/>
      <c r="E691" s="53">
        <f>IF(E690&gt;0,E687/E690,0)</f>
        <v>0</v>
      </c>
      <c r="G691" s="41"/>
      <c r="H691" s="29"/>
    </row>
    <row r="692" spans="1:8" ht="15.75" customHeight="1" x14ac:dyDescent="0.25">
      <c r="A692" s="276"/>
      <c r="B692" s="279"/>
      <c r="C692" s="282" t="s">
        <v>478</v>
      </c>
      <c r="D692" s="283"/>
      <c r="E692" s="53">
        <f>IF(E690&gt;0,E688/E690,0)</f>
        <v>0</v>
      </c>
      <c r="G692" s="41"/>
      <c r="H692" s="29"/>
    </row>
    <row r="693" spans="1:8" ht="15.75" customHeight="1" x14ac:dyDescent="0.25">
      <c r="A693" s="276"/>
      <c r="B693" s="279"/>
      <c r="C693" s="282" t="s">
        <v>479</v>
      </c>
      <c r="D693" s="283"/>
      <c r="E693" s="53">
        <f>IF(E690&gt;0,E689/E690,0)</f>
        <v>1.3761467889908258E-2</v>
      </c>
      <c r="G693" s="41"/>
      <c r="H693" s="29"/>
    </row>
    <row r="694" spans="1:8" ht="15.6" hidden="1" customHeight="1" x14ac:dyDescent="0.25">
      <c r="A694" s="276"/>
      <c r="B694" s="279"/>
      <c r="C694" s="145" t="s">
        <v>98</v>
      </c>
      <c r="D694" s="123">
        <v>2E-3</v>
      </c>
      <c r="E694" s="122"/>
      <c r="G694" s="41"/>
      <c r="H694" s="29"/>
    </row>
    <row r="695" spans="1:8" ht="15.75" hidden="1" customHeight="1" x14ac:dyDescent="0.25">
      <c r="A695" s="276"/>
      <c r="B695" s="279"/>
      <c r="C695" s="145" t="s">
        <v>99</v>
      </c>
      <c r="D695" s="123">
        <v>0.02</v>
      </c>
      <c r="E695" s="122"/>
      <c r="G695" s="41"/>
      <c r="H695" s="29"/>
    </row>
    <row r="696" spans="1:8" ht="15.75" hidden="1" customHeight="1" x14ac:dyDescent="0.25">
      <c r="A696" s="276"/>
      <c r="B696" s="279"/>
      <c r="C696" s="145" t="s">
        <v>100</v>
      </c>
      <c r="D696" s="123">
        <v>0.04</v>
      </c>
      <c r="E696" s="122"/>
      <c r="G696" s="41"/>
      <c r="H696" s="29"/>
    </row>
    <row r="697" spans="1:8" ht="15.75" hidden="1" customHeight="1" x14ac:dyDescent="0.25">
      <c r="A697" s="276"/>
      <c r="B697" s="279"/>
      <c r="C697" s="124"/>
      <c r="D697" s="125" t="s">
        <v>231</v>
      </c>
      <c r="E697" s="126" t="str">
        <f>IF(E691&gt;=D694,"YES","NO")</f>
        <v>NO</v>
      </c>
      <c r="G697" s="41"/>
      <c r="H697" s="29"/>
    </row>
    <row r="698" spans="1:8" ht="15.75" hidden="1" customHeight="1" x14ac:dyDescent="0.25">
      <c r="A698" s="276"/>
      <c r="B698" s="279"/>
      <c r="C698" s="124"/>
      <c r="D698" s="125" t="s">
        <v>232</v>
      </c>
      <c r="E698" s="126" t="str">
        <f>IF(AND(E691&lt;D694,E692&gt;=D695),"YES","NO")</f>
        <v>NO</v>
      </c>
      <c r="G698" s="41"/>
      <c r="H698" s="29"/>
    </row>
    <row r="699" spans="1:8" ht="15.75" hidden="1" customHeight="1" x14ac:dyDescent="0.25">
      <c r="A699" s="276"/>
      <c r="B699" s="279"/>
      <c r="C699" s="124"/>
      <c r="D699" s="125" t="s">
        <v>233</v>
      </c>
      <c r="E699" s="126" t="str">
        <f>IF(OR(AND(E691&gt;0,E691&lt;D694,E692=0),AND(E692&gt;0,E692&lt;D695,E691=0),AND(E691&gt;0,E691&lt;D694,E692&gt;0,E692&lt;D695)),"YES","NO")</f>
        <v>NO</v>
      </c>
      <c r="G699" s="41"/>
      <c r="H699" s="29"/>
    </row>
    <row r="700" spans="1:8" ht="15.75" hidden="1" customHeight="1" x14ac:dyDescent="0.25">
      <c r="A700" s="276"/>
      <c r="B700" s="279"/>
      <c r="C700" s="124"/>
      <c r="D700" s="125" t="s">
        <v>480</v>
      </c>
      <c r="E700" s="126" t="str">
        <f>IF(AND(E691=0,E692=0,E693&gt;=D696),"YES","NO")</f>
        <v>NO</v>
      </c>
      <c r="G700" s="41"/>
      <c r="H700" s="29"/>
    </row>
    <row r="701" spans="1:8" ht="15.75" hidden="1" customHeight="1" x14ac:dyDescent="0.25">
      <c r="A701" s="276"/>
      <c r="B701" s="279"/>
      <c r="C701" s="124"/>
      <c r="D701" s="125" t="s">
        <v>481</v>
      </c>
      <c r="E701" s="126" t="str">
        <f>IF(AND(E691=0,E692=0,E693&lt;D696),"YES","NO")</f>
        <v>YES</v>
      </c>
      <c r="G701" s="41"/>
      <c r="H701" s="29"/>
    </row>
    <row r="702" spans="1:8" ht="15" customHeight="1" x14ac:dyDescent="0.25">
      <c r="A702" s="277"/>
      <c r="B702" s="280"/>
      <c r="C702" s="301" t="s">
        <v>33</v>
      </c>
      <c r="D702" s="302"/>
      <c r="E702" s="25">
        <f>IF(E697="YES",4,IF(E698="YES",3+E691/D694,IF(E699="YES",2+2*E691/D694+E692/D695-(E691*E692)/(D694*D695),IF(E700="YES",2,2*E693/D696))))</f>
        <v>0.68807339449541283</v>
      </c>
      <c r="G702" s="38"/>
      <c r="H702" s="29"/>
    </row>
    <row r="703" spans="1:8" ht="15" customHeight="1" x14ac:dyDescent="0.25">
      <c r="C703" s="39"/>
      <c r="D703" s="69"/>
      <c r="H703" s="40"/>
    </row>
    <row r="704" spans="1:8" ht="40.5" customHeight="1" x14ac:dyDescent="0.25">
      <c r="A704" s="275">
        <v>56</v>
      </c>
      <c r="B704" s="278"/>
      <c r="C704" s="287" t="s">
        <v>486</v>
      </c>
      <c r="D704" s="288"/>
      <c r="E704" s="36"/>
      <c r="H704" s="212"/>
    </row>
    <row r="705" spans="1:8" ht="15" customHeight="1" x14ac:dyDescent="0.25">
      <c r="A705" s="276"/>
      <c r="B705" s="279"/>
      <c r="C705" s="346" t="s">
        <v>487</v>
      </c>
      <c r="D705" s="347"/>
      <c r="E705" s="49">
        <v>73</v>
      </c>
      <c r="F705" s="8" t="s">
        <v>93</v>
      </c>
      <c r="H705" s="29"/>
    </row>
    <row r="706" spans="1:8" ht="15" customHeight="1" x14ac:dyDescent="0.25">
      <c r="A706" s="276"/>
      <c r="B706" s="279"/>
      <c r="C706" s="346" t="s">
        <v>488</v>
      </c>
      <c r="D706" s="347"/>
      <c r="E706" s="49">
        <v>0</v>
      </c>
      <c r="F706" s="8" t="s">
        <v>93</v>
      </c>
      <c r="H706" s="29"/>
    </row>
    <row r="707" spans="1:8" ht="14.45" customHeight="1" x14ac:dyDescent="0.25">
      <c r="A707" s="276"/>
      <c r="B707" s="279"/>
      <c r="C707" s="346" t="s">
        <v>489</v>
      </c>
      <c r="D707" s="347"/>
      <c r="E707" s="49">
        <v>0</v>
      </c>
      <c r="F707" s="8" t="s">
        <v>93</v>
      </c>
      <c r="H707" s="29"/>
    </row>
    <row r="708" spans="1:8" ht="14.45" customHeight="1" x14ac:dyDescent="0.25">
      <c r="A708" s="276"/>
      <c r="B708" s="279"/>
      <c r="C708" s="201" t="s">
        <v>490</v>
      </c>
      <c r="D708" s="202"/>
      <c r="E708" s="49">
        <v>1</v>
      </c>
      <c r="F708" s="8" t="s">
        <v>93</v>
      </c>
      <c r="H708" s="29"/>
    </row>
    <row r="709" spans="1:8" ht="14.45" customHeight="1" x14ac:dyDescent="0.25">
      <c r="A709" s="276"/>
      <c r="B709" s="279"/>
      <c r="C709" s="201" t="s">
        <v>491</v>
      </c>
      <c r="D709" s="202"/>
      <c r="E709" s="49">
        <v>0</v>
      </c>
      <c r="F709" s="8" t="s">
        <v>93</v>
      </c>
      <c r="H709" s="29"/>
    </row>
    <row r="710" spans="1:8" ht="14.45" customHeight="1" x14ac:dyDescent="0.25">
      <c r="A710" s="276"/>
      <c r="B710" s="279"/>
      <c r="C710" s="346" t="s">
        <v>492</v>
      </c>
      <c r="D710" s="347"/>
      <c r="E710" s="47">
        <f>IF(SUM(E706:E709)&gt;0,(4*E706+5*E707+6*E708+7*E709)/SUM(E706:E709),0)</f>
        <v>6</v>
      </c>
      <c r="H710" s="29"/>
    </row>
    <row r="711" spans="1:8" ht="15" hidden="1" customHeight="1" x14ac:dyDescent="0.25">
      <c r="A711" s="276"/>
      <c r="B711" s="279"/>
      <c r="C711" s="172"/>
      <c r="D711" s="121"/>
      <c r="E711" s="122"/>
      <c r="H711" s="29"/>
    </row>
    <row r="712" spans="1:8" ht="15.75" hidden="1" customHeight="1" x14ac:dyDescent="0.25">
      <c r="A712" s="276"/>
      <c r="B712" s="279"/>
      <c r="C712" s="145" t="s">
        <v>184</v>
      </c>
      <c r="D712" s="121">
        <v>3</v>
      </c>
      <c r="E712" s="122"/>
      <c r="G712" s="41"/>
      <c r="H712" s="29"/>
    </row>
    <row r="713" spans="1:8" ht="15.75" hidden="1" customHeight="1" x14ac:dyDescent="0.25">
      <c r="A713" s="276"/>
      <c r="B713" s="279"/>
      <c r="C713" s="145" t="s">
        <v>185</v>
      </c>
      <c r="D713" s="121">
        <v>3.5</v>
      </c>
      <c r="E713" s="122"/>
      <c r="G713" s="41"/>
      <c r="H713" s="29"/>
    </row>
    <row r="714" spans="1:8" ht="15.75" hidden="1" customHeight="1" x14ac:dyDescent="0.25">
      <c r="A714" s="276"/>
      <c r="B714" s="279"/>
      <c r="C714" s="145" t="s">
        <v>203</v>
      </c>
      <c r="D714" s="121">
        <v>4.5</v>
      </c>
      <c r="E714" s="122"/>
      <c r="G714" s="41"/>
      <c r="H714" s="29"/>
    </row>
    <row r="715" spans="1:8" ht="15.75" hidden="1" customHeight="1" x14ac:dyDescent="0.25">
      <c r="A715" s="276"/>
      <c r="B715" s="279"/>
      <c r="C715" s="145" t="s">
        <v>215</v>
      </c>
      <c r="D715" s="121">
        <v>7</v>
      </c>
      <c r="E715" s="122"/>
      <c r="G715" s="41"/>
      <c r="H715" s="29"/>
    </row>
    <row r="716" spans="1:8" ht="15" customHeight="1" x14ac:dyDescent="0.25">
      <c r="A716" s="277"/>
      <c r="B716" s="280"/>
      <c r="C716" s="289" t="s">
        <v>33</v>
      </c>
      <c r="D716" s="297"/>
      <c r="E716" s="25">
        <f>IF(E710&gt;D715,0,IF(E710&gt;D714,-4/(D715-D714)*(E710-D714)+4,IF(E710&gt;D713,4,IF(E710&gt;D712,4/(D713-D712)*(E710-D712),0))))</f>
        <v>1.5999999999999996</v>
      </c>
      <c r="H716" s="29"/>
    </row>
    <row r="717" spans="1:8" ht="15" customHeight="1" x14ac:dyDescent="0.25">
      <c r="C717" s="39"/>
      <c r="D717" s="69"/>
      <c r="H717" s="40"/>
    </row>
    <row r="718" spans="1:8" ht="40.5" customHeight="1" x14ac:dyDescent="0.25">
      <c r="A718" s="275">
        <v>57</v>
      </c>
      <c r="B718" s="278"/>
      <c r="C718" s="287" t="s">
        <v>493</v>
      </c>
      <c r="D718" s="288"/>
      <c r="E718" s="36"/>
      <c r="H718" s="212"/>
    </row>
    <row r="719" spans="1:8" ht="15" customHeight="1" x14ac:dyDescent="0.25">
      <c r="A719" s="276"/>
      <c r="B719" s="279"/>
      <c r="C719" s="346" t="s">
        <v>494</v>
      </c>
      <c r="D719" s="347"/>
      <c r="E719" s="49">
        <v>73</v>
      </c>
      <c r="F719" s="8" t="s">
        <v>93</v>
      </c>
      <c r="H719" s="29"/>
    </row>
    <row r="720" spans="1:8" ht="15" customHeight="1" x14ac:dyDescent="0.25">
      <c r="A720" s="276"/>
      <c r="B720" s="279"/>
      <c r="C720" s="346" t="s">
        <v>495</v>
      </c>
      <c r="D720" s="347"/>
      <c r="E720" s="49">
        <v>68</v>
      </c>
      <c r="F720" s="8" t="s">
        <v>93</v>
      </c>
      <c r="H720" s="29"/>
    </row>
    <row r="721" spans="1:8" x14ac:dyDescent="0.25">
      <c r="A721" s="276"/>
      <c r="B721" s="279"/>
      <c r="C721" s="346" t="s">
        <v>496</v>
      </c>
      <c r="D721" s="347"/>
      <c r="E721" s="49">
        <v>106</v>
      </c>
      <c r="H721" s="29"/>
    </row>
    <row r="722" spans="1:8" ht="15" customHeight="1" x14ac:dyDescent="0.25">
      <c r="A722" s="276"/>
      <c r="B722" s="279"/>
      <c r="C722" s="346" t="s">
        <v>497</v>
      </c>
      <c r="D722" s="347"/>
      <c r="E722" s="49">
        <v>58</v>
      </c>
      <c r="F722" s="8" t="s">
        <v>93</v>
      </c>
      <c r="H722" s="29"/>
    </row>
    <row r="723" spans="1:8" ht="15" customHeight="1" x14ac:dyDescent="0.25">
      <c r="A723" s="276"/>
      <c r="B723" s="279"/>
      <c r="C723" s="346" t="s">
        <v>498</v>
      </c>
      <c r="D723" s="347"/>
      <c r="E723" s="49">
        <v>0</v>
      </c>
      <c r="F723" s="8" t="s">
        <v>93</v>
      </c>
      <c r="H723" s="29"/>
    </row>
    <row r="724" spans="1:8" ht="14.45" customHeight="1" x14ac:dyDescent="0.25">
      <c r="A724" s="276"/>
      <c r="B724" s="279"/>
      <c r="C724" s="346" t="s">
        <v>499</v>
      </c>
      <c r="D724" s="347"/>
      <c r="E724" s="49">
        <v>5</v>
      </c>
      <c r="F724" s="8" t="s">
        <v>93</v>
      </c>
      <c r="H724" s="29"/>
    </row>
    <row r="725" spans="1:8" ht="14.45" customHeight="1" x14ac:dyDescent="0.25">
      <c r="A725" s="276"/>
      <c r="B725" s="279"/>
      <c r="C725" s="346" t="s">
        <v>500</v>
      </c>
      <c r="D725" s="347"/>
      <c r="E725" s="49">
        <v>2</v>
      </c>
      <c r="H725" s="29"/>
    </row>
    <row r="726" spans="1:8" ht="14.45" customHeight="1" x14ac:dyDescent="0.25">
      <c r="A726" s="276"/>
      <c r="B726" s="279"/>
      <c r="C726" s="346" t="s">
        <v>501</v>
      </c>
      <c r="D726" s="347"/>
      <c r="E726" s="49">
        <v>1</v>
      </c>
      <c r="F726" s="8" t="s">
        <v>93</v>
      </c>
      <c r="H726" s="29"/>
    </row>
    <row r="727" spans="1:8" ht="14.45" customHeight="1" x14ac:dyDescent="0.25">
      <c r="A727" s="276"/>
      <c r="B727" s="279"/>
      <c r="C727" s="346" t="s">
        <v>502</v>
      </c>
      <c r="D727" s="347"/>
      <c r="E727" s="119">
        <f>IF(SUM(E719:E722)&gt;0,SUM(E723:E726)/SUM(E719:E722),0)</f>
        <v>2.6229508196721311E-2</v>
      </c>
      <c r="H727" s="29"/>
    </row>
    <row r="728" spans="1:8" ht="14.45" hidden="1" customHeight="1" x14ac:dyDescent="0.25">
      <c r="A728" s="276"/>
      <c r="B728" s="279"/>
      <c r="C728" s="172"/>
      <c r="D728" s="131"/>
      <c r="E728" s="122"/>
      <c r="H728" s="29"/>
    </row>
    <row r="729" spans="1:8" ht="15" hidden="1" customHeight="1" x14ac:dyDescent="0.25">
      <c r="A729" s="276"/>
      <c r="B729" s="279"/>
      <c r="C729" s="172"/>
      <c r="D729" s="131"/>
      <c r="E729" s="122"/>
      <c r="H729" s="29"/>
    </row>
    <row r="730" spans="1:8" ht="15.75" hidden="1" customHeight="1" x14ac:dyDescent="0.25">
      <c r="A730" s="276"/>
      <c r="B730" s="279"/>
      <c r="C730" s="145" t="s">
        <v>151</v>
      </c>
      <c r="D730" s="131">
        <v>0.5</v>
      </c>
      <c r="E730" s="122"/>
      <c r="G730" s="41"/>
      <c r="H730" s="29"/>
    </row>
    <row r="731" spans="1:8" ht="15" customHeight="1" x14ac:dyDescent="0.25">
      <c r="A731" s="277"/>
      <c r="B731" s="280"/>
      <c r="C731" s="289" t="s">
        <v>33</v>
      </c>
      <c r="D731" s="297"/>
      <c r="E731" s="25">
        <f>IF(E727&gt;=D730,4,1+3/D730*E727)</f>
        <v>1.1573770491803279</v>
      </c>
      <c r="H731" s="29"/>
    </row>
    <row r="732" spans="1:8" ht="15" customHeight="1" x14ac:dyDescent="0.25">
      <c r="C732" s="39"/>
      <c r="D732" s="69"/>
      <c r="H732" s="40"/>
    </row>
    <row r="733" spans="1:8" ht="40.5" customHeight="1" x14ac:dyDescent="0.25">
      <c r="A733" s="275">
        <v>58</v>
      </c>
      <c r="B733" s="278"/>
      <c r="C733" s="287" t="s">
        <v>503</v>
      </c>
      <c r="D733" s="288"/>
      <c r="E733" s="36"/>
      <c r="H733" s="212"/>
    </row>
    <row r="734" spans="1:8" ht="15" customHeight="1" x14ac:dyDescent="0.25">
      <c r="A734" s="276"/>
      <c r="B734" s="279"/>
      <c r="C734" s="346" t="s">
        <v>487</v>
      </c>
      <c r="D734" s="347"/>
      <c r="E734" s="49">
        <v>73</v>
      </c>
      <c r="F734" s="8" t="s">
        <v>93</v>
      </c>
      <c r="H734" s="29"/>
    </row>
    <row r="735" spans="1:8" ht="15" customHeight="1" x14ac:dyDescent="0.25">
      <c r="A735" s="276"/>
      <c r="B735" s="279"/>
      <c r="C735" s="346" t="s">
        <v>488</v>
      </c>
      <c r="D735" s="347"/>
      <c r="E735" s="49">
        <v>0</v>
      </c>
      <c r="F735" s="8" t="s">
        <v>93</v>
      </c>
      <c r="H735" s="29"/>
    </row>
    <row r="736" spans="1:8" ht="14.45" customHeight="1" x14ac:dyDescent="0.25">
      <c r="A736" s="276"/>
      <c r="B736" s="279"/>
      <c r="C736" s="346" t="s">
        <v>489</v>
      </c>
      <c r="D736" s="347"/>
      <c r="E736" s="49">
        <v>0</v>
      </c>
      <c r="F736" s="8" t="s">
        <v>93</v>
      </c>
      <c r="H736" s="29"/>
    </row>
    <row r="737" spans="1:8" ht="14.45" customHeight="1" x14ac:dyDescent="0.25">
      <c r="A737" s="276"/>
      <c r="B737" s="279"/>
      <c r="C737" s="201" t="s">
        <v>490</v>
      </c>
      <c r="D737" s="202"/>
      <c r="E737" s="49">
        <v>1</v>
      </c>
      <c r="F737" s="8" t="s">
        <v>93</v>
      </c>
      <c r="H737" s="29"/>
    </row>
    <row r="738" spans="1:8" ht="15" customHeight="1" x14ac:dyDescent="0.25">
      <c r="A738" s="276"/>
      <c r="B738" s="279"/>
      <c r="C738" s="201" t="s">
        <v>491</v>
      </c>
      <c r="D738" s="202"/>
      <c r="E738" s="49">
        <v>0</v>
      </c>
      <c r="F738" s="8" t="s">
        <v>93</v>
      </c>
      <c r="H738" s="29"/>
    </row>
    <row r="739" spans="1:8" x14ac:dyDescent="0.25">
      <c r="A739" s="276"/>
      <c r="B739" s="279"/>
      <c r="C739" s="346" t="s">
        <v>504</v>
      </c>
      <c r="D739" s="347"/>
      <c r="E739" s="119">
        <f>IF(E734&gt;0,SUM(E735:E738)/E734,0)</f>
        <v>1.3698630136986301E-2</v>
      </c>
      <c r="H739" s="29"/>
    </row>
    <row r="740" spans="1:8" ht="14.45" hidden="1" customHeight="1" x14ac:dyDescent="0.25">
      <c r="A740" s="276"/>
      <c r="B740" s="279"/>
      <c r="C740" s="172"/>
      <c r="D740" s="131"/>
      <c r="E740" s="122"/>
      <c r="H740" s="29"/>
    </row>
    <row r="741" spans="1:8" ht="15.75" hidden="1" customHeight="1" x14ac:dyDescent="0.25">
      <c r="A741" s="276"/>
      <c r="B741" s="279"/>
      <c r="C741" s="145" t="s">
        <v>184</v>
      </c>
      <c r="D741" s="131">
        <v>0.3</v>
      </c>
      <c r="E741" s="122"/>
      <c r="G741" s="41"/>
      <c r="H741" s="29"/>
    </row>
    <row r="742" spans="1:8" ht="15.75" hidden="1" customHeight="1" x14ac:dyDescent="0.25">
      <c r="A742" s="276"/>
      <c r="B742" s="279"/>
      <c r="C742" s="145" t="s">
        <v>185</v>
      </c>
      <c r="D742" s="131">
        <v>0.85</v>
      </c>
      <c r="E742" s="122"/>
      <c r="G742" s="41"/>
      <c r="H742" s="29"/>
    </row>
    <row r="743" spans="1:8" ht="15" customHeight="1" x14ac:dyDescent="0.25">
      <c r="A743" s="277"/>
      <c r="B743" s="280"/>
      <c r="C743" s="289" t="s">
        <v>33</v>
      </c>
      <c r="D743" s="297"/>
      <c r="E743" s="25">
        <f>IF(E739&gt;=D742,4,IF(E739&gt;=D741,4/(D742-D741)*(E739-D741),0))</f>
        <v>0</v>
      </c>
      <c r="H743" s="29"/>
    </row>
    <row r="744" spans="1:8" ht="15" customHeight="1" x14ac:dyDescent="0.25">
      <c r="C744" s="39"/>
      <c r="D744" s="69"/>
      <c r="H744" s="40"/>
    </row>
    <row r="745" spans="1:8" ht="120.6" customHeight="1" x14ac:dyDescent="0.25">
      <c r="A745" s="275">
        <v>59</v>
      </c>
      <c r="B745" s="278"/>
      <c r="C745" s="287" t="s">
        <v>505</v>
      </c>
      <c r="D745" s="288"/>
      <c r="E745" s="21">
        <v>0</v>
      </c>
      <c r="F745" s="8" t="str">
        <f>IF(OR(ISBLANK(E745),E745&gt;4),"Salah isi","judge")</f>
        <v>judge</v>
      </c>
      <c r="H745" s="212"/>
    </row>
    <row r="746" spans="1:8" x14ac:dyDescent="0.25">
      <c r="A746" s="276"/>
      <c r="B746" s="279"/>
      <c r="C746" s="22">
        <v>4</v>
      </c>
      <c r="D746" s="61" t="s">
        <v>506</v>
      </c>
      <c r="E746" s="23"/>
      <c r="H746" s="29"/>
    </row>
    <row r="747" spans="1:8" x14ac:dyDescent="0.25">
      <c r="A747" s="276"/>
      <c r="B747" s="279"/>
      <c r="C747" s="22">
        <v>3</v>
      </c>
      <c r="D747" s="61" t="s">
        <v>507</v>
      </c>
      <c r="E747" s="23"/>
      <c r="H747" s="29"/>
    </row>
    <row r="748" spans="1:8" x14ac:dyDescent="0.25">
      <c r="A748" s="276"/>
      <c r="B748" s="279"/>
      <c r="C748" s="22">
        <v>2</v>
      </c>
      <c r="D748" s="61" t="s">
        <v>508</v>
      </c>
      <c r="E748" s="23"/>
      <c r="H748" s="29"/>
    </row>
    <row r="749" spans="1:8" x14ac:dyDescent="0.25">
      <c r="A749" s="276"/>
      <c r="B749" s="279"/>
      <c r="C749" s="22">
        <v>1</v>
      </c>
      <c r="D749" s="61" t="s">
        <v>509</v>
      </c>
      <c r="E749" s="23"/>
      <c r="H749" s="29"/>
    </row>
    <row r="750" spans="1:8" x14ac:dyDescent="0.25">
      <c r="A750" s="276"/>
      <c r="B750" s="279"/>
      <c r="C750" s="22">
        <v>0</v>
      </c>
      <c r="D750" s="61" t="s">
        <v>510</v>
      </c>
      <c r="E750" s="24"/>
      <c r="H750" s="29"/>
    </row>
    <row r="751" spans="1:8" ht="15" customHeight="1" x14ac:dyDescent="0.25">
      <c r="A751" s="277"/>
      <c r="B751" s="280"/>
      <c r="C751" s="289" t="s">
        <v>33</v>
      </c>
      <c r="D751" s="290"/>
      <c r="E751" s="25">
        <f>IF(F745="Salah isi",0,E745)</f>
        <v>0</v>
      </c>
      <c r="H751" s="29"/>
    </row>
    <row r="752" spans="1:8" ht="15" customHeight="1" x14ac:dyDescent="0.25">
      <c r="A752" s="26"/>
      <c r="B752" s="26"/>
      <c r="C752" s="27"/>
      <c r="D752" s="63"/>
      <c r="E752" s="28"/>
      <c r="H752" s="29"/>
    </row>
    <row r="753" spans="1:8" ht="29.25" customHeight="1" x14ac:dyDescent="0.25">
      <c r="A753" s="275">
        <v>60</v>
      </c>
      <c r="B753" s="356"/>
      <c r="C753" s="359" t="s">
        <v>511</v>
      </c>
      <c r="D753" s="360"/>
      <c r="E753" s="36"/>
      <c r="H753" s="212"/>
    </row>
    <row r="754" spans="1:8" ht="15" customHeight="1" x14ac:dyDescent="0.25">
      <c r="A754" s="276"/>
      <c r="B754" s="357"/>
      <c r="C754" s="348" t="s">
        <v>512</v>
      </c>
      <c r="D754" s="349"/>
      <c r="E754" s="59">
        <v>36</v>
      </c>
      <c r="F754" s="8" t="s">
        <v>93</v>
      </c>
      <c r="H754" s="29"/>
    </row>
    <row r="755" spans="1:8" ht="15" customHeight="1" x14ac:dyDescent="0.25">
      <c r="A755" s="276"/>
      <c r="B755" s="357"/>
      <c r="C755" s="348" t="s">
        <v>513</v>
      </c>
      <c r="D755" s="349"/>
      <c r="E755" s="59">
        <v>12</v>
      </c>
      <c r="F755" s="8" t="s">
        <v>93</v>
      </c>
      <c r="H755" s="29"/>
    </row>
    <row r="756" spans="1:8" ht="15" customHeight="1" x14ac:dyDescent="0.25">
      <c r="A756" s="276"/>
      <c r="B756" s="357"/>
      <c r="C756" s="348" t="s">
        <v>514</v>
      </c>
      <c r="D756" s="349"/>
      <c r="E756" s="59">
        <v>68</v>
      </c>
      <c r="F756" s="8" t="s">
        <v>93</v>
      </c>
      <c r="H756" s="29"/>
    </row>
    <row r="757" spans="1:8" ht="15" customHeight="1" x14ac:dyDescent="0.25">
      <c r="A757" s="276"/>
      <c r="B757" s="357"/>
      <c r="C757" s="348" t="s">
        <v>515</v>
      </c>
      <c r="D757" s="349"/>
      <c r="E757" s="59">
        <v>15</v>
      </c>
      <c r="F757" s="8" t="s">
        <v>93</v>
      </c>
      <c r="H757" s="29"/>
    </row>
    <row r="758" spans="1:8" ht="15" customHeight="1" x14ac:dyDescent="0.25">
      <c r="A758" s="276"/>
      <c r="B758" s="357"/>
      <c r="C758" s="348" t="s">
        <v>516</v>
      </c>
      <c r="D758" s="349"/>
      <c r="E758" s="59">
        <v>10</v>
      </c>
      <c r="F758" s="8" t="s">
        <v>93</v>
      </c>
      <c r="H758" s="29"/>
    </row>
    <row r="759" spans="1:8" ht="15" customHeight="1" x14ac:dyDescent="0.25">
      <c r="A759" s="276"/>
      <c r="B759" s="357"/>
      <c r="C759" s="348" t="s">
        <v>517</v>
      </c>
      <c r="D759" s="349"/>
      <c r="E759" s="59">
        <v>30</v>
      </c>
      <c r="F759" s="8" t="s">
        <v>93</v>
      </c>
      <c r="H759" s="29"/>
    </row>
    <row r="760" spans="1:8" ht="16.5" customHeight="1" x14ac:dyDescent="0.25">
      <c r="A760" s="276"/>
      <c r="B760" s="357"/>
      <c r="C760" s="137" t="s">
        <v>518</v>
      </c>
      <c r="D760" s="138"/>
      <c r="E760" s="139">
        <f>IF(SUM(E754:E756)&gt;=300,1,2)</f>
        <v>2</v>
      </c>
      <c r="H760" s="29"/>
    </row>
    <row r="761" spans="1:8" ht="15" customHeight="1" x14ac:dyDescent="0.25">
      <c r="A761" s="276"/>
      <c r="B761" s="357"/>
      <c r="C761" s="348" t="s">
        <v>519</v>
      </c>
      <c r="D761" s="349"/>
      <c r="E761" s="78">
        <f>IF(SUM(E754:E756)&gt;0,SUM(E757:E759)/SUM(E754:E756),0)</f>
        <v>0.47413793103448276</v>
      </c>
      <c r="H761" s="29"/>
    </row>
    <row r="762" spans="1:8" ht="17.100000000000001" customHeight="1" x14ac:dyDescent="0.25">
      <c r="A762" s="276"/>
      <c r="B762" s="357"/>
      <c r="C762" s="77" t="s">
        <v>520</v>
      </c>
      <c r="D762" s="76"/>
      <c r="E762" s="140">
        <f>IF(E760=1,30%,50%-SUM(E754:E756)/300*20%)</f>
        <v>0.42266666666666663</v>
      </c>
      <c r="H762" s="29"/>
    </row>
    <row r="763" spans="1:8" ht="48.75" customHeight="1" x14ac:dyDescent="0.25">
      <c r="A763" s="276"/>
      <c r="B763" s="279"/>
      <c r="C763" s="342" t="s">
        <v>521</v>
      </c>
      <c r="D763" s="342"/>
      <c r="E763" s="136"/>
      <c r="H763" s="29"/>
    </row>
    <row r="764" spans="1:8" ht="14.45" customHeight="1" x14ac:dyDescent="0.25">
      <c r="A764" s="276"/>
      <c r="B764" s="279"/>
      <c r="C764" s="361" t="s">
        <v>522</v>
      </c>
      <c r="D764" s="120" t="s">
        <v>523</v>
      </c>
      <c r="E764" s="132">
        <v>5</v>
      </c>
      <c r="F764" s="8" t="s">
        <v>93</v>
      </c>
      <c r="H764" s="29"/>
    </row>
    <row r="765" spans="1:8" ht="15" customHeight="1" x14ac:dyDescent="0.25">
      <c r="A765" s="276"/>
      <c r="B765" s="279"/>
      <c r="C765" s="362"/>
      <c r="D765" s="120" t="s">
        <v>524</v>
      </c>
      <c r="E765" s="132">
        <v>6</v>
      </c>
      <c r="F765" s="8" t="s">
        <v>93</v>
      </c>
      <c r="H765" s="29"/>
    </row>
    <row r="766" spans="1:8" ht="15" customHeight="1" x14ac:dyDescent="0.25">
      <c r="A766" s="276"/>
      <c r="B766" s="279"/>
      <c r="C766" s="363"/>
      <c r="D766" s="120" t="s">
        <v>525</v>
      </c>
      <c r="E766" s="132">
        <v>4</v>
      </c>
      <c r="F766" s="8" t="s">
        <v>93</v>
      </c>
      <c r="H766" s="29"/>
    </row>
    <row r="767" spans="1:8" ht="14.45" customHeight="1" x14ac:dyDescent="0.25">
      <c r="A767" s="276"/>
      <c r="B767" s="279"/>
      <c r="C767" s="361" t="s">
        <v>526</v>
      </c>
      <c r="D767" s="120" t="s">
        <v>523</v>
      </c>
      <c r="E767" s="132">
        <v>3</v>
      </c>
      <c r="F767" s="8" t="s">
        <v>93</v>
      </c>
      <c r="H767" s="29"/>
    </row>
    <row r="768" spans="1:8" ht="15" customHeight="1" x14ac:dyDescent="0.25">
      <c r="A768" s="276"/>
      <c r="B768" s="279"/>
      <c r="C768" s="362"/>
      <c r="D768" s="120" t="s">
        <v>524</v>
      </c>
      <c r="E768" s="132">
        <v>4</v>
      </c>
      <c r="F768" s="8" t="s">
        <v>93</v>
      </c>
      <c r="H768" s="29"/>
    </row>
    <row r="769" spans="1:8" ht="15" customHeight="1" x14ac:dyDescent="0.25">
      <c r="A769" s="276"/>
      <c r="B769" s="279"/>
      <c r="C769" s="363"/>
      <c r="D769" s="120" t="s">
        <v>525</v>
      </c>
      <c r="E769" s="132">
        <v>3</v>
      </c>
      <c r="F769" s="8" t="s">
        <v>93</v>
      </c>
      <c r="H769" s="29"/>
    </row>
    <row r="770" spans="1:8" ht="14.45" customHeight="1" x14ac:dyDescent="0.25">
      <c r="A770" s="276"/>
      <c r="B770" s="279"/>
      <c r="C770" s="361" t="s">
        <v>527</v>
      </c>
      <c r="D770" s="120" t="s">
        <v>523</v>
      </c>
      <c r="E770" s="132">
        <v>10</v>
      </c>
      <c r="F770" s="8" t="s">
        <v>93</v>
      </c>
      <c r="H770" s="29"/>
    </row>
    <row r="771" spans="1:8" ht="15" customHeight="1" x14ac:dyDescent="0.25">
      <c r="A771" s="276"/>
      <c r="B771" s="279"/>
      <c r="C771" s="362"/>
      <c r="D771" s="120" t="s">
        <v>524</v>
      </c>
      <c r="E771" s="132">
        <v>15</v>
      </c>
      <c r="F771" s="8" t="s">
        <v>93</v>
      </c>
      <c r="H771" s="29"/>
    </row>
    <row r="772" spans="1:8" ht="15" customHeight="1" x14ac:dyDescent="0.25">
      <c r="A772" s="276"/>
      <c r="B772" s="279"/>
      <c r="C772" s="363"/>
      <c r="D772" s="120" t="s">
        <v>525</v>
      </c>
      <c r="E772" s="132">
        <v>5</v>
      </c>
      <c r="F772" s="8" t="s">
        <v>93</v>
      </c>
      <c r="H772" s="29"/>
    </row>
    <row r="773" spans="1:8" ht="14.45" hidden="1" customHeight="1" x14ac:dyDescent="0.25">
      <c r="A773" s="276"/>
      <c r="B773" s="279"/>
      <c r="C773" s="145" t="s">
        <v>184</v>
      </c>
      <c r="D773" s="133">
        <v>3</v>
      </c>
      <c r="E773" s="122"/>
      <c r="H773" s="29"/>
    </row>
    <row r="774" spans="1:8" ht="14.45" hidden="1" customHeight="1" x14ac:dyDescent="0.25">
      <c r="A774" s="276"/>
      <c r="B774" s="279"/>
      <c r="C774" s="145" t="s">
        <v>185</v>
      </c>
      <c r="D774" s="133">
        <v>6</v>
      </c>
      <c r="E774" s="122"/>
      <c r="H774" s="29"/>
    </row>
    <row r="775" spans="1:8" ht="14.45" hidden="1" customHeight="1" x14ac:dyDescent="0.25">
      <c r="A775" s="276"/>
      <c r="B775" s="279"/>
      <c r="C775" s="145" t="s">
        <v>203</v>
      </c>
      <c r="D775" s="133">
        <v>12</v>
      </c>
      <c r="E775" s="122"/>
      <c r="H775" s="29"/>
    </row>
    <row r="776" spans="1:8" ht="29.1" hidden="1" customHeight="1" x14ac:dyDescent="0.25">
      <c r="A776" s="276"/>
      <c r="B776" s="279"/>
      <c r="C776" s="143" t="s">
        <v>528</v>
      </c>
      <c r="D776" s="134">
        <f>AVERAGE(0,D773)</f>
        <v>1.5</v>
      </c>
      <c r="E776" s="95"/>
      <c r="H776" s="29"/>
    </row>
    <row r="777" spans="1:8" ht="29.1" hidden="1" customHeight="1" x14ac:dyDescent="0.25">
      <c r="A777" s="276"/>
      <c r="B777" s="279"/>
      <c r="C777" s="143" t="s">
        <v>529</v>
      </c>
      <c r="D777" s="134">
        <f>AVERAGE(D773,D774)</f>
        <v>4.5</v>
      </c>
      <c r="E777" s="95"/>
      <c r="H777" s="29"/>
    </row>
    <row r="778" spans="1:8" ht="29.1" hidden="1" customHeight="1" x14ac:dyDescent="0.25">
      <c r="A778" s="276"/>
      <c r="B778" s="279"/>
      <c r="C778" s="143" t="s">
        <v>530</v>
      </c>
      <c r="D778" s="134">
        <f>AVERAGE(D774,D775)</f>
        <v>9</v>
      </c>
      <c r="E778" s="95"/>
      <c r="H778" s="29"/>
    </row>
    <row r="779" spans="1:8" ht="15" customHeight="1" x14ac:dyDescent="0.25">
      <c r="A779" s="276"/>
      <c r="B779" s="279"/>
      <c r="C779" s="282" t="s">
        <v>531</v>
      </c>
      <c r="D779" s="283"/>
      <c r="E779" s="58">
        <f>IF(SUM(E764:E772)&gt;0,((E764+E767+E770)*D776+(E765+E768+E771)*D777+(E766+E769+E772)*D778)/SUM(E764:E772),0)</f>
        <v>4.5</v>
      </c>
      <c r="H779" s="29"/>
    </row>
    <row r="780" spans="1:8" ht="15" customHeight="1" x14ac:dyDescent="0.25">
      <c r="A780" s="276"/>
      <c r="B780" s="279"/>
      <c r="C780" s="282" t="s">
        <v>532</v>
      </c>
      <c r="D780" s="283"/>
      <c r="E780" s="54">
        <f>IF(E779&gt;=D774,0,IF(E779&gt;3,-4/(D774-D773)*(E779-D773)+4,4))</f>
        <v>2</v>
      </c>
      <c r="H780" s="29"/>
    </row>
    <row r="781" spans="1:8" ht="15" customHeight="1" x14ac:dyDescent="0.25">
      <c r="A781" s="277"/>
      <c r="B781" s="280"/>
      <c r="C781" s="289" t="s">
        <v>33</v>
      </c>
      <c r="D781" s="290"/>
      <c r="E781" s="25">
        <f>IF(E761&gt;=E762,E780,E761/E762*E780)</f>
        <v>2</v>
      </c>
      <c r="H781" s="29"/>
    </row>
    <row r="782" spans="1:8" ht="15" customHeight="1" x14ac:dyDescent="0.25">
      <c r="C782" s="39"/>
      <c r="D782" s="69"/>
      <c r="H782" s="40"/>
    </row>
    <row r="783" spans="1:8" ht="29.25" customHeight="1" x14ac:dyDescent="0.25">
      <c r="A783" s="275">
        <v>61</v>
      </c>
      <c r="B783" s="356"/>
      <c r="C783" s="359" t="s">
        <v>533</v>
      </c>
      <c r="D783" s="360"/>
      <c r="E783" s="36"/>
      <c r="H783" s="212"/>
    </row>
    <row r="784" spans="1:8" ht="15" customHeight="1" x14ac:dyDescent="0.25">
      <c r="A784" s="276"/>
      <c r="B784" s="357"/>
      <c r="C784" s="348" t="s">
        <v>512</v>
      </c>
      <c r="D784" s="349"/>
      <c r="E784" s="59">
        <v>36</v>
      </c>
      <c r="F784" s="8" t="s">
        <v>93</v>
      </c>
      <c r="H784" s="29"/>
    </row>
    <row r="785" spans="1:8" ht="15" customHeight="1" x14ac:dyDescent="0.25">
      <c r="A785" s="276"/>
      <c r="B785" s="357"/>
      <c r="C785" s="348" t="s">
        <v>513</v>
      </c>
      <c r="D785" s="349"/>
      <c r="E785" s="59">
        <v>12</v>
      </c>
      <c r="F785" s="8" t="s">
        <v>93</v>
      </c>
      <c r="H785" s="29"/>
    </row>
    <row r="786" spans="1:8" ht="15" customHeight="1" x14ac:dyDescent="0.25">
      <c r="A786" s="276"/>
      <c r="B786" s="357"/>
      <c r="C786" s="348" t="s">
        <v>514</v>
      </c>
      <c r="D786" s="349"/>
      <c r="E786" s="59">
        <v>68</v>
      </c>
      <c r="F786" s="8" t="s">
        <v>93</v>
      </c>
      <c r="H786" s="29"/>
    </row>
    <row r="787" spans="1:8" ht="15" customHeight="1" x14ac:dyDescent="0.25">
      <c r="A787" s="276"/>
      <c r="B787" s="357"/>
      <c r="C787" s="348" t="s">
        <v>515</v>
      </c>
      <c r="D787" s="349"/>
      <c r="E787" s="59">
        <v>15</v>
      </c>
      <c r="F787" s="8" t="s">
        <v>93</v>
      </c>
      <c r="H787" s="29"/>
    </row>
    <row r="788" spans="1:8" ht="15" customHeight="1" x14ac:dyDescent="0.25">
      <c r="A788" s="276"/>
      <c r="B788" s="357"/>
      <c r="C788" s="348" t="s">
        <v>516</v>
      </c>
      <c r="D788" s="349"/>
      <c r="E788" s="59">
        <v>10</v>
      </c>
      <c r="F788" s="8" t="s">
        <v>93</v>
      </c>
      <c r="H788" s="29"/>
    </row>
    <row r="789" spans="1:8" ht="15" customHeight="1" x14ac:dyDescent="0.25">
      <c r="A789" s="276"/>
      <c r="B789" s="357"/>
      <c r="C789" s="348" t="s">
        <v>534</v>
      </c>
      <c r="D789" s="349"/>
      <c r="E789" s="59">
        <v>30</v>
      </c>
      <c r="F789" s="8" t="s">
        <v>93</v>
      </c>
      <c r="H789" s="29"/>
    </row>
    <row r="790" spans="1:8" ht="16.5" customHeight="1" x14ac:dyDescent="0.25">
      <c r="A790" s="276"/>
      <c r="B790" s="357"/>
      <c r="C790" s="137" t="s">
        <v>518</v>
      </c>
      <c r="D790" s="138"/>
      <c r="E790" s="139">
        <f>IF(SUM(E784:E786)&gt;=300,1,2)</f>
        <v>2</v>
      </c>
      <c r="H790" s="29"/>
    </row>
    <row r="791" spans="1:8" ht="15" customHeight="1" x14ac:dyDescent="0.25">
      <c r="A791" s="276"/>
      <c r="B791" s="357"/>
      <c r="C791" s="348" t="s">
        <v>519</v>
      </c>
      <c r="D791" s="349"/>
      <c r="E791" s="78">
        <f>IF(SUM(E784:E786)&gt;0,SUM(E787:E789)/SUM(E784:E786),0)</f>
        <v>0.47413793103448276</v>
      </c>
      <c r="H791" s="29"/>
    </row>
    <row r="792" spans="1:8" ht="17.100000000000001" customHeight="1" x14ac:dyDescent="0.25">
      <c r="A792" s="276"/>
      <c r="B792" s="357"/>
      <c r="C792" s="77" t="s">
        <v>520</v>
      </c>
      <c r="D792" s="76"/>
      <c r="E792" s="140">
        <f>IF(E790=1,30%,50%-SUM(E784:E786)/300*20%)</f>
        <v>0.42266666666666663</v>
      </c>
      <c r="H792" s="29"/>
    </row>
    <row r="793" spans="1:8" ht="48.75" customHeight="1" x14ac:dyDescent="0.25">
      <c r="A793" s="276"/>
      <c r="B793" s="279"/>
      <c r="C793" s="342" t="s">
        <v>535</v>
      </c>
      <c r="D793" s="342"/>
      <c r="E793" s="136"/>
      <c r="H793" s="29"/>
    </row>
    <row r="794" spans="1:8" ht="14.45" customHeight="1" x14ac:dyDescent="0.25">
      <c r="A794" s="276"/>
      <c r="B794" s="279"/>
      <c r="C794" s="361" t="s">
        <v>522</v>
      </c>
      <c r="D794" s="120" t="s">
        <v>536</v>
      </c>
      <c r="E794" s="148">
        <v>5</v>
      </c>
      <c r="F794" s="8" t="s">
        <v>93</v>
      </c>
      <c r="H794" s="29"/>
    </row>
    <row r="795" spans="1:8" ht="15" customHeight="1" x14ac:dyDescent="0.25">
      <c r="A795" s="276"/>
      <c r="B795" s="279"/>
      <c r="C795" s="362"/>
      <c r="D795" s="120" t="s">
        <v>537</v>
      </c>
      <c r="E795" s="148">
        <v>6</v>
      </c>
      <c r="F795" s="8" t="s">
        <v>93</v>
      </c>
      <c r="H795" s="29"/>
    </row>
    <row r="796" spans="1:8" ht="15" customHeight="1" x14ac:dyDescent="0.25">
      <c r="A796" s="276"/>
      <c r="B796" s="279"/>
      <c r="C796" s="363"/>
      <c r="D796" s="120" t="s">
        <v>538</v>
      </c>
      <c r="E796" s="148">
        <v>4</v>
      </c>
      <c r="F796" s="8" t="s">
        <v>93</v>
      </c>
      <c r="H796" s="29"/>
    </row>
    <row r="797" spans="1:8" ht="14.45" customHeight="1" x14ac:dyDescent="0.25">
      <c r="A797" s="276"/>
      <c r="B797" s="279"/>
      <c r="C797" s="361" t="s">
        <v>526</v>
      </c>
      <c r="D797" s="120" t="s">
        <v>536</v>
      </c>
      <c r="E797" s="148">
        <v>4</v>
      </c>
      <c r="F797" s="8" t="s">
        <v>93</v>
      </c>
      <c r="H797" s="29"/>
    </row>
    <row r="798" spans="1:8" ht="15" customHeight="1" x14ac:dyDescent="0.25">
      <c r="A798" s="276"/>
      <c r="B798" s="279"/>
      <c r="C798" s="362"/>
      <c r="D798" s="120" t="s">
        <v>537</v>
      </c>
      <c r="E798" s="148">
        <v>6</v>
      </c>
      <c r="F798" s="8" t="s">
        <v>93</v>
      </c>
      <c r="H798" s="29"/>
    </row>
    <row r="799" spans="1:8" ht="15" customHeight="1" x14ac:dyDescent="0.25">
      <c r="A799" s="276"/>
      <c r="B799" s="279"/>
      <c r="C799" s="363"/>
      <c r="D799" s="120" t="s">
        <v>538</v>
      </c>
      <c r="E799" s="148">
        <v>2</v>
      </c>
      <c r="F799" s="8" t="s">
        <v>93</v>
      </c>
      <c r="H799" s="29"/>
    </row>
    <row r="800" spans="1:8" ht="14.45" customHeight="1" x14ac:dyDescent="0.25">
      <c r="A800" s="276"/>
      <c r="B800" s="279"/>
      <c r="C800" s="361" t="s">
        <v>527</v>
      </c>
      <c r="D800" s="120" t="s">
        <v>536</v>
      </c>
      <c r="E800" s="148">
        <v>15</v>
      </c>
      <c r="F800" s="8" t="s">
        <v>93</v>
      </c>
      <c r="H800" s="29"/>
    </row>
    <row r="801" spans="1:8" ht="15" customHeight="1" x14ac:dyDescent="0.25">
      <c r="A801" s="276"/>
      <c r="B801" s="279"/>
      <c r="C801" s="362"/>
      <c r="D801" s="120" t="s">
        <v>537</v>
      </c>
      <c r="E801" s="148">
        <v>10</v>
      </c>
      <c r="F801" s="8" t="s">
        <v>93</v>
      </c>
      <c r="H801" s="29"/>
    </row>
    <row r="802" spans="1:8" ht="15" customHeight="1" x14ac:dyDescent="0.25">
      <c r="A802" s="276"/>
      <c r="B802" s="279"/>
      <c r="C802" s="363"/>
      <c r="D802" s="120" t="s">
        <v>538</v>
      </c>
      <c r="E802" s="148">
        <v>5</v>
      </c>
      <c r="F802" s="8" t="s">
        <v>93</v>
      </c>
      <c r="H802" s="29"/>
    </row>
    <row r="803" spans="1:8" ht="14.45" hidden="1" customHeight="1" x14ac:dyDescent="0.25">
      <c r="A803" s="276"/>
      <c r="B803" s="279"/>
      <c r="C803" s="145" t="s">
        <v>151</v>
      </c>
      <c r="D803" s="147">
        <v>0.6</v>
      </c>
      <c r="E803" s="122"/>
      <c r="H803" s="29"/>
    </row>
    <row r="804" spans="1:8" ht="14.45" hidden="1" customHeight="1" x14ac:dyDescent="0.25">
      <c r="A804" s="276"/>
      <c r="B804" s="279"/>
      <c r="C804" s="143" t="s">
        <v>184</v>
      </c>
      <c r="D804" s="146">
        <v>0.3</v>
      </c>
      <c r="E804" s="95" t="s">
        <v>539</v>
      </c>
      <c r="H804" s="29"/>
    </row>
    <row r="805" spans="1:8" ht="14.45" hidden="1" customHeight="1" x14ac:dyDescent="0.25">
      <c r="A805" s="276"/>
      <c r="B805" s="279"/>
      <c r="C805" s="143" t="s">
        <v>185</v>
      </c>
      <c r="D805" s="146">
        <v>0.7</v>
      </c>
      <c r="E805" s="95" t="s">
        <v>540</v>
      </c>
      <c r="H805" s="29"/>
    </row>
    <row r="806" spans="1:8" ht="14.45" hidden="1" customHeight="1" x14ac:dyDescent="0.25">
      <c r="A806" s="276"/>
      <c r="B806" s="279"/>
      <c r="C806" s="143" t="s">
        <v>203</v>
      </c>
      <c r="D806" s="146">
        <v>1</v>
      </c>
      <c r="E806" s="95" t="s">
        <v>541</v>
      </c>
      <c r="H806" s="29"/>
    </row>
    <row r="807" spans="1:8" ht="15" customHeight="1" x14ac:dyDescent="0.25">
      <c r="A807" s="276"/>
      <c r="B807" s="279"/>
      <c r="C807" s="282" t="s">
        <v>542</v>
      </c>
      <c r="D807" s="283"/>
      <c r="E807" s="55">
        <f>IF(SUM(E794:E802)&gt;0,((E794+E797+E800)*D804+(E795+E798+E801)*D805+(E796+E799+E802)*D806)/SUM(E794:E802),0)</f>
        <v>0.58947368421052626</v>
      </c>
      <c r="H807" s="29"/>
    </row>
    <row r="808" spans="1:8" ht="15" customHeight="1" x14ac:dyDescent="0.25">
      <c r="A808" s="276"/>
      <c r="B808" s="279"/>
      <c r="C808" s="282" t="s">
        <v>532</v>
      </c>
      <c r="D808" s="283"/>
      <c r="E808" s="54">
        <f>IF(E807&gt;=80%,4,5*E807)</f>
        <v>2.9473684210526314</v>
      </c>
      <c r="H808" s="29"/>
    </row>
    <row r="809" spans="1:8" ht="15" customHeight="1" x14ac:dyDescent="0.25">
      <c r="A809" s="277"/>
      <c r="B809" s="280"/>
      <c r="C809" s="289" t="s">
        <v>33</v>
      </c>
      <c r="D809" s="290"/>
      <c r="E809" s="25">
        <f>IF(E791&gt;=E792,E808,E791/E792*E808)</f>
        <v>2.9473684210526314</v>
      </c>
      <c r="H809" s="29"/>
    </row>
    <row r="810" spans="1:8" ht="15" customHeight="1" x14ac:dyDescent="0.25">
      <c r="C810" s="39"/>
      <c r="D810" s="69"/>
      <c r="H810" s="40"/>
    </row>
    <row r="811" spans="1:8" ht="29.25" customHeight="1" x14ac:dyDescent="0.25">
      <c r="A811" s="275">
        <v>62</v>
      </c>
      <c r="B811" s="356"/>
      <c r="C811" s="359" t="s">
        <v>543</v>
      </c>
      <c r="D811" s="360"/>
      <c r="E811" s="36"/>
      <c r="H811" s="212"/>
    </row>
    <row r="812" spans="1:8" ht="15" customHeight="1" x14ac:dyDescent="0.25">
      <c r="A812" s="276"/>
      <c r="B812" s="357"/>
      <c r="C812" s="348" t="s">
        <v>512</v>
      </c>
      <c r="D812" s="349"/>
      <c r="E812" s="59"/>
      <c r="F812" s="8" t="s">
        <v>93</v>
      </c>
      <c r="H812" s="29"/>
    </row>
    <row r="813" spans="1:8" ht="15" customHeight="1" x14ac:dyDescent="0.25">
      <c r="A813" s="276"/>
      <c r="B813" s="357"/>
      <c r="C813" s="348" t="s">
        <v>513</v>
      </c>
      <c r="D813" s="349"/>
      <c r="E813" s="59"/>
      <c r="F813" s="8" t="s">
        <v>93</v>
      </c>
      <c r="H813" s="29"/>
    </row>
    <row r="814" spans="1:8" ht="15" customHeight="1" x14ac:dyDescent="0.25">
      <c r="A814" s="276"/>
      <c r="B814" s="357"/>
      <c r="C814" s="348" t="s">
        <v>514</v>
      </c>
      <c r="D814" s="349"/>
      <c r="E814" s="59">
        <v>68</v>
      </c>
      <c r="F814" s="8" t="s">
        <v>93</v>
      </c>
      <c r="H814" s="29"/>
    </row>
    <row r="815" spans="1:8" ht="15" customHeight="1" x14ac:dyDescent="0.25">
      <c r="A815" s="276"/>
      <c r="B815" s="357"/>
      <c r="C815" s="348" t="s">
        <v>544</v>
      </c>
      <c r="D815" s="349"/>
      <c r="E815" s="59"/>
      <c r="F815" s="8" t="s">
        <v>93</v>
      </c>
      <c r="H815" s="29"/>
    </row>
    <row r="816" spans="1:8" ht="15" customHeight="1" x14ac:dyDescent="0.25">
      <c r="A816" s="276"/>
      <c r="B816" s="357"/>
      <c r="C816" s="348" t="s">
        <v>545</v>
      </c>
      <c r="D816" s="349"/>
      <c r="E816" s="59"/>
      <c r="F816" s="8" t="s">
        <v>93</v>
      </c>
      <c r="H816" s="29"/>
    </row>
    <row r="817" spans="1:8" ht="15" customHeight="1" x14ac:dyDescent="0.25">
      <c r="A817" s="276"/>
      <c r="B817" s="357"/>
      <c r="C817" s="348" t="s">
        <v>546</v>
      </c>
      <c r="D817" s="349"/>
      <c r="E817" s="59"/>
      <c r="F817" s="8" t="s">
        <v>93</v>
      </c>
      <c r="H817" s="29"/>
    </row>
    <row r="818" spans="1:8" ht="16.5" customHeight="1" x14ac:dyDescent="0.25">
      <c r="A818" s="276"/>
      <c r="B818" s="357"/>
      <c r="C818" s="137" t="s">
        <v>518</v>
      </c>
      <c r="D818" s="138"/>
      <c r="E818" s="139">
        <f>IF(SUM(E812:E814)&gt;=300,1,2)</f>
        <v>2</v>
      </c>
      <c r="H818" s="29"/>
    </row>
    <row r="819" spans="1:8" ht="15" customHeight="1" x14ac:dyDescent="0.25">
      <c r="A819" s="276"/>
      <c r="B819" s="357"/>
      <c r="C819" s="348" t="s">
        <v>519</v>
      </c>
      <c r="D819" s="349"/>
      <c r="E819" s="78">
        <f>IF(SUM(E812:E814)&gt;0,SUM(E815:E817)/SUM(E812:E814),0)</f>
        <v>0</v>
      </c>
      <c r="H819" s="29"/>
    </row>
    <row r="820" spans="1:8" ht="17.100000000000001" customHeight="1" x14ac:dyDescent="0.25">
      <c r="A820" s="276"/>
      <c r="B820" s="357"/>
      <c r="C820" s="77" t="s">
        <v>520</v>
      </c>
      <c r="D820" s="76"/>
      <c r="E820" s="140">
        <f>IF(E818=1,30%,50%-SUM(E812:E814)/300*20%)</f>
        <v>0.45466666666666666</v>
      </c>
      <c r="H820" s="29"/>
    </row>
    <row r="821" spans="1:8" ht="48.75" customHeight="1" x14ac:dyDescent="0.25">
      <c r="A821" s="276"/>
      <c r="B821" s="279"/>
      <c r="C821" s="342" t="s">
        <v>547</v>
      </c>
      <c r="D821" s="342"/>
      <c r="E821" s="136"/>
      <c r="H821" s="29"/>
    </row>
    <row r="822" spans="1:8" ht="30" customHeight="1" x14ac:dyDescent="0.25">
      <c r="A822" s="276"/>
      <c r="B822" s="279"/>
      <c r="C822" s="361" t="s">
        <v>548</v>
      </c>
      <c r="D822" s="120" t="s">
        <v>549</v>
      </c>
      <c r="E822" s="148">
        <v>0</v>
      </c>
      <c r="F822" s="8" t="s">
        <v>93</v>
      </c>
      <c r="H822" s="29"/>
    </row>
    <row r="823" spans="1:8" ht="29.1" customHeight="1" x14ac:dyDescent="0.25">
      <c r="A823" s="276"/>
      <c r="B823" s="279"/>
      <c r="C823" s="362"/>
      <c r="D823" s="120" t="s">
        <v>550</v>
      </c>
      <c r="E823" s="148">
        <v>0</v>
      </c>
      <c r="F823" s="8" t="s">
        <v>93</v>
      </c>
      <c r="H823" s="29"/>
    </row>
    <row r="824" spans="1:8" ht="29.1" customHeight="1" x14ac:dyDescent="0.25">
      <c r="A824" s="276"/>
      <c r="B824" s="279"/>
      <c r="C824" s="363"/>
      <c r="D824" s="120" t="s">
        <v>551</v>
      </c>
      <c r="E824" s="148">
        <v>0</v>
      </c>
      <c r="F824" s="8" t="s">
        <v>93</v>
      </c>
      <c r="H824" s="29"/>
    </row>
    <row r="825" spans="1:8" ht="30" customHeight="1" x14ac:dyDescent="0.25">
      <c r="A825" s="276"/>
      <c r="B825" s="279"/>
      <c r="C825" s="361" t="s">
        <v>552</v>
      </c>
      <c r="D825" s="120" t="s">
        <v>549</v>
      </c>
      <c r="E825" s="148">
        <v>0</v>
      </c>
      <c r="F825" s="8" t="s">
        <v>93</v>
      </c>
      <c r="H825" s="29"/>
    </row>
    <row r="826" spans="1:8" ht="29.1" customHeight="1" x14ac:dyDescent="0.25">
      <c r="A826" s="276"/>
      <c r="B826" s="279"/>
      <c r="C826" s="362"/>
      <c r="D826" s="120" t="s">
        <v>550</v>
      </c>
      <c r="E826" s="148">
        <v>0</v>
      </c>
      <c r="F826" s="8" t="s">
        <v>93</v>
      </c>
      <c r="H826" s="29"/>
    </row>
    <row r="827" spans="1:8" ht="29.1" customHeight="1" x14ac:dyDescent="0.25">
      <c r="A827" s="276"/>
      <c r="B827" s="279"/>
      <c r="C827" s="363"/>
      <c r="D827" s="120" t="s">
        <v>551</v>
      </c>
      <c r="E827" s="148">
        <v>0</v>
      </c>
      <c r="F827" s="8" t="s">
        <v>93</v>
      </c>
      <c r="H827" s="29"/>
    </row>
    <row r="828" spans="1:8" ht="30" customHeight="1" x14ac:dyDescent="0.25">
      <c r="A828" s="276"/>
      <c r="B828" s="279"/>
      <c r="C828" s="361" t="s">
        <v>553</v>
      </c>
      <c r="D828" s="120" t="s">
        <v>549</v>
      </c>
      <c r="E828" s="148">
        <v>0</v>
      </c>
      <c r="F828" s="8" t="s">
        <v>93</v>
      </c>
      <c r="H828" s="29"/>
    </row>
    <row r="829" spans="1:8" ht="29.1" customHeight="1" x14ac:dyDescent="0.25">
      <c r="A829" s="276"/>
      <c r="B829" s="279"/>
      <c r="C829" s="362"/>
      <c r="D829" s="120" t="s">
        <v>550</v>
      </c>
      <c r="E829" s="148">
        <v>5</v>
      </c>
      <c r="F829" s="8" t="s">
        <v>93</v>
      </c>
      <c r="H829" s="29"/>
    </row>
    <row r="830" spans="1:8" ht="29.1" customHeight="1" x14ac:dyDescent="0.25">
      <c r="A830" s="276"/>
      <c r="B830" s="279"/>
      <c r="C830" s="363"/>
      <c r="D830" s="120" t="s">
        <v>551</v>
      </c>
      <c r="E830" s="148">
        <v>30</v>
      </c>
      <c r="F830" s="8" t="s">
        <v>93</v>
      </c>
      <c r="H830" s="29"/>
    </row>
    <row r="831" spans="1:8" ht="15" customHeight="1" x14ac:dyDescent="0.25">
      <c r="A831" s="276"/>
      <c r="B831" s="279"/>
      <c r="C831" s="282" t="s">
        <v>554</v>
      </c>
      <c r="D831" s="283"/>
      <c r="E831" s="53">
        <f>IF(SUM(E822:E830)&gt;0,(E822+E825+E828)/SUM(E822:E830),0)</f>
        <v>0</v>
      </c>
      <c r="G831" s="41"/>
      <c r="H831" s="29"/>
    </row>
    <row r="832" spans="1:8" ht="15.75" customHeight="1" x14ac:dyDescent="0.25">
      <c r="A832" s="276"/>
      <c r="B832" s="279"/>
      <c r="C832" s="282" t="s">
        <v>555</v>
      </c>
      <c r="D832" s="283"/>
      <c r="E832" s="53">
        <f>IF(SUM(E822:E830)&gt;0,(E823+E826+E829)/SUM(E822:E830),0)</f>
        <v>0.14285714285714285</v>
      </c>
      <c r="G832" s="41"/>
      <c r="H832" s="29"/>
    </row>
    <row r="833" spans="1:8" ht="15.75" customHeight="1" x14ac:dyDescent="0.25">
      <c r="A833" s="276"/>
      <c r="B833" s="279"/>
      <c r="C833" s="282" t="s">
        <v>556</v>
      </c>
      <c r="D833" s="283"/>
      <c r="E833" s="53">
        <f>IF(SUM(E822:E830)&gt;0,(E824+E827+E830)/SUM(E822:E830),0)</f>
        <v>0.8571428571428571</v>
      </c>
      <c r="G833" s="41"/>
      <c r="H833" s="29"/>
    </row>
    <row r="834" spans="1:8" ht="15.75" hidden="1" customHeight="1" x14ac:dyDescent="0.25">
      <c r="A834" s="276"/>
      <c r="B834" s="279"/>
      <c r="C834" s="145" t="s">
        <v>98</v>
      </c>
      <c r="D834" s="147">
        <v>0.05</v>
      </c>
      <c r="E834" s="122"/>
      <c r="G834" s="41"/>
      <c r="H834" s="29"/>
    </row>
    <row r="835" spans="1:8" ht="15.75" hidden="1" customHeight="1" x14ac:dyDescent="0.25">
      <c r="A835" s="276"/>
      <c r="B835" s="279"/>
      <c r="C835" s="145" t="s">
        <v>99</v>
      </c>
      <c r="D835" s="147">
        <v>0.2</v>
      </c>
      <c r="E835" s="122"/>
      <c r="G835" s="41"/>
      <c r="H835" s="29"/>
    </row>
    <row r="836" spans="1:8" ht="15.75" hidden="1" customHeight="1" x14ac:dyDescent="0.25">
      <c r="A836" s="276"/>
      <c r="B836" s="279"/>
      <c r="C836" s="145" t="s">
        <v>100</v>
      </c>
      <c r="D836" s="147">
        <v>0.9</v>
      </c>
      <c r="E836" s="122"/>
      <c r="G836" s="41"/>
      <c r="H836" s="29"/>
    </row>
    <row r="837" spans="1:8" ht="15.75" hidden="1" customHeight="1" x14ac:dyDescent="0.25">
      <c r="A837" s="276"/>
      <c r="B837" s="279"/>
      <c r="C837" s="124"/>
      <c r="D837" s="125" t="s">
        <v>231</v>
      </c>
      <c r="E837" s="126" t="str">
        <f>IF(E831&gt;=D834,"YES","NO")</f>
        <v>NO</v>
      </c>
      <c r="G837" s="41"/>
      <c r="H837" s="29"/>
    </row>
    <row r="838" spans="1:8" ht="15.75" hidden="1" customHeight="1" x14ac:dyDescent="0.25">
      <c r="A838" s="276"/>
      <c r="B838" s="279"/>
      <c r="C838" s="124"/>
      <c r="D838" s="125" t="s">
        <v>232</v>
      </c>
      <c r="E838" s="126" t="str">
        <f>IF(AND(E831&lt;D834,E832&gt;=D835),"YES","NO")</f>
        <v>NO</v>
      </c>
      <c r="G838" s="41"/>
      <c r="H838" s="29"/>
    </row>
    <row r="839" spans="1:8" ht="15.75" hidden="1" customHeight="1" x14ac:dyDescent="0.25">
      <c r="A839" s="276"/>
      <c r="B839" s="279"/>
      <c r="C839" s="124"/>
      <c r="D839" s="125" t="s">
        <v>233</v>
      </c>
      <c r="E839" s="126" t="str">
        <f>IF(OR(AND(E831&gt;0,E831&lt;D834,E832=0),AND(E832&gt;0,E832&lt;D835,E831=0),AND(E831&gt;0,E831&lt;D834,E832&gt;0,E832&lt;D835)),"YES","NO")</f>
        <v>YES</v>
      </c>
      <c r="G839" s="41"/>
      <c r="H839" s="29"/>
    </row>
    <row r="840" spans="1:8" ht="15.75" hidden="1" customHeight="1" x14ac:dyDescent="0.25">
      <c r="A840" s="276"/>
      <c r="B840" s="279"/>
      <c r="C840" s="124"/>
      <c r="D840" s="125" t="s">
        <v>480</v>
      </c>
      <c r="E840" s="126" t="str">
        <f>IF(AND(E831=0,E832=0,E833&gt;=D836),"YES","NO")</f>
        <v>NO</v>
      </c>
      <c r="G840" s="41"/>
      <c r="H840" s="29"/>
    </row>
    <row r="841" spans="1:8" ht="15.75" hidden="1" customHeight="1" x14ac:dyDescent="0.25">
      <c r="A841" s="276"/>
      <c r="B841" s="279"/>
      <c r="C841" s="124"/>
      <c r="D841" s="125" t="s">
        <v>481</v>
      </c>
      <c r="E841" s="149" t="str">
        <f>IF(AND(E831=0,E832=0,E833&lt;D836),"YES","NO")</f>
        <v>NO</v>
      </c>
      <c r="G841" s="41"/>
      <c r="H841" s="29"/>
    </row>
    <row r="842" spans="1:8" ht="15" customHeight="1" x14ac:dyDescent="0.25">
      <c r="A842" s="276"/>
      <c r="B842" s="357"/>
      <c r="C842" s="324" t="s">
        <v>532</v>
      </c>
      <c r="D842" s="324"/>
      <c r="E842" s="150">
        <f>IF(E837="YES",4,IF(E838="YES",3+E831/D834,IF(E839="YES",2+2*E831/D834+E832/D835-(E831*E832)/(D834*D835),IF(E840="YES",2,2*E833/D836))))</f>
        <v>2.7142857142857144</v>
      </c>
      <c r="H842" s="29"/>
    </row>
    <row r="843" spans="1:8" ht="15" customHeight="1" x14ac:dyDescent="0.25">
      <c r="A843" s="277"/>
      <c r="B843" s="358"/>
      <c r="C843" s="369" t="s">
        <v>33</v>
      </c>
      <c r="D843" s="369"/>
      <c r="E843" s="25">
        <f>IF(E819&gt;=E820,E842,E819/E820*E842)</f>
        <v>0</v>
      </c>
      <c r="G843" s="38"/>
      <c r="H843" s="29"/>
    </row>
    <row r="844" spans="1:8" ht="15" customHeight="1" x14ac:dyDescent="0.25">
      <c r="C844" s="39"/>
      <c r="D844" s="69"/>
      <c r="H844" s="40"/>
    </row>
    <row r="845" spans="1:8" ht="29.25" customHeight="1" x14ac:dyDescent="0.25">
      <c r="A845" s="275">
        <v>63</v>
      </c>
      <c r="B845" s="356"/>
      <c r="C845" s="359" t="s">
        <v>557</v>
      </c>
      <c r="D845" s="360"/>
      <c r="E845" s="36"/>
      <c r="H845" s="212"/>
    </row>
    <row r="846" spans="1:8" ht="14.45" customHeight="1" x14ac:dyDescent="0.25">
      <c r="A846" s="276"/>
      <c r="B846" s="357"/>
      <c r="C846" s="348" t="s">
        <v>512</v>
      </c>
      <c r="D846" s="349"/>
      <c r="E846" s="59"/>
      <c r="F846" s="8" t="s">
        <v>93</v>
      </c>
      <c r="H846" s="29"/>
    </row>
    <row r="847" spans="1:8" ht="14.45" customHeight="1" x14ac:dyDescent="0.25">
      <c r="A847" s="276"/>
      <c r="B847" s="357"/>
      <c r="C847" s="348" t="s">
        <v>513</v>
      </c>
      <c r="D847" s="349"/>
      <c r="E847" s="59"/>
      <c r="F847" s="8" t="s">
        <v>93</v>
      </c>
      <c r="H847" s="29"/>
    </row>
    <row r="848" spans="1:8" ht="14.45" customHeight="1" x14ac:dyDescent="0.25">
      <c r="A848" s="276"/>
      <c r="B848" s="357"/>
      <c r="C848" s="348" t="s">
        <v>514</v>
      </c>
      <c r="D848" s="349"/>
      <c r="E848" s="59"/>
      <c r="F848" s="8" t="s">
        <v>93</v>
      </c>
      <c r="H848" s="29"/>
    </row>
    <row r="849" spans="1:8" ht="15" customHeight="1" x14ac:dyDescent="0.25">
      <c r="A849" s="276"/>
      <c r="B849" s="357"/>
      <c r="C849" s="348" t="s">
        <v>558</v>
      </c>
      <c r="D849" s="349"/>
      <c r="E849" s="59"/>
      <c r="F849" s="8" t="s">
        <v>93</v>
      </c>
      <c r="H849" s="29"/>
    </row>
    <row r="850" spans="1:8" ht="15" customHeight="1" x14ac:dyDescent="0.25">
      <c r="A850" s="276"/>
      <c r="B850" s="357"/>
      <c r="C850" s="348" t="s">
        <v>559</v>
      </c>
      <c r="D850" s="349"/>
      <c r="E850" s="59"/>
      <c r="F850" s="8" t="s">
        <v>93</v>
      </c>
      <c r="H850" s="29"/>
    </row>
    <row r="851" spans="1:8" ht="15" customHeight="1" x14ac:dyDescent="0.25">
      <c r="A851" s="276"/>
      <c r="B851" s="357"/>
      <c r="C851" s="348" t="s">
        <v>560</v>
      </c>
      <c r="D851" s="349"/>
      <c r="E851" s="59"/>
      <c r="F851" s="8" t="s">
        <v>93</v>
      </c>
      <c r="H851" s="29"/>
    </row>
    <row r="852" spans="1:8" ht="16.5" customHeight="1" x14ac:dyDescent="0.25">
      <c r="A852" s="276"/>
      <c r="B852" s="357"/>
      <c r="C852" s="137" t="s">
        <v>518</v>
      </c>
      <c r="D852" s="138"/>
      <c r="E852" s="139">
        <f>IF(SUM(E846:E848)&gt;=300,1,2)</f>
        <v>2</v>
      </c>
      <c r="H852" s="29"/>
    </row>
    <row r="853" spans="1:8" ht="15" customHeight="1" x14ac:dyDescent="0.25">
      <c r="A853" s="276"/>
      <c r="B853" s="357"/>
      <c r="C853" s="348" t="s">
        <v>561</v>
      </c>
      <c r="D853" s="349"/>
      <c r="E853" s="78">
        <f>IF(SUM(E846:E848)&gt;0,SUM(E849:E851)/SUM(E846:E848),0)</f>
        <v>0</v>
      </c>
      <c r="H853" s="29"/>
    </row>
    <row r="854" spans="1:8" ht="17.100000000000001" customHeight="1" x14ac:dyDescent="0.25">
      <c r="A854" s="276"/>
      <c r="B854" s="357"/>
      <c r="C854" s="77" t="s">
        <v>520</v>
      </c>
      <c r="D854" s="76"/>
      <c r="E854" s="140">
        <f>IF(E852=1,30%,50%-SUM(E846:E848)/300*20%)</f>
        <v>0.5</v>
      </c>
      <c r="H854" s="29"/>
    </row>
    <row r="855" spans="1:8" ht="44.45" customHeight="1" x14ac:dyDescent="0.25">
      <c r="A855" s="276"/>
      <c r="B855" s="279"/>
      <c r="C855" s="281" t="s">
        <v>562</v>
      </c>
      <c r="D855" s="281"/>
      <c r="E855" s="36"/>
      <c r="H855" s="29"/>
    </row>
    <row r="856" spans="1:8" ht="15.75" customHeight="1" x14ac:dyDescent="0.25">
      <c r="A856" s="276"/>
      <c r="B856" s="279"/>
      <c r="C856" s="343" t="s">
        <v>563</v>
      </c>
      <c r="D856" s="71" t="s">
        <v>411</v>
      </c>
      <c r="E856" s="75">
        <v>0.4</v>
      </c>
      <c r="F856" s="8" t="s">
        <v>93</v>
      </c>
      <c r="H856" s="29"/>
    </row>
    <row r="857" spans="1:8" ht="15" customHeight="1" x14ac:dyDescent="0.25">
      <c r="A857" s="276"/>
      <c r="B857" s="279"/>
      <c r="C857" s="344"/>
      <c r="D857" s="71" t="s">
        <v>412</v>
      </c>
      <c r="E857" s="75">
        <v>0.35</v>
      </c>
      <c r="F857" s="8" t="s">
        <v>93</v>
      </c>
      <c r="H857" s="29"/>
    </row>
    <row r="858" spans="1:8" ht="15" customHeight="1" x14ac:dyDescent="0.25">
      <c r="A858" s="276"/>
      <c r="B858" s="279"/>
      <c r="C858" s="344"/>
      <c r="D858" s="71" t="s">
        <v>413</v>
      </c>
      <c r="E858" s="75">
        <v>0.15</v>
      </c>
      <c r="F858" s="8" t="s">
        <v>93</v>
      </c>
      <c r="H858" s="29"/>
    </row>
    <row r="859" spans="1:8" ht="15" customHeight="1" x14ac:dyDescent="0.25">
      <c r="A859" s="276"/>
      <c r="B859" s="279"/>
      <c r="C859" s="344"/>
      <c r="D859" s="71" t="s">
        <v>414</v>
      </c>
      <c r="E859" s="75">
        <v>0.1</v>
      </c>
      <c r="F859" s="8" t="s">
        <v>93</v>
      </c>
      <c r="H859" s="29"/>
    </row>
    <row r="860" spans="1:8" ht="15" customHeight="1" x14ac:dyDescent="0.25">
      <c r="A860" s="276"/>
      <c r="B860" s="279"/>
      <c r="C860" s="345"/>
      <c r="D860" s="72" t="s">
        <v>564</v>
      </c>
      <c r="E860" s="54">
        <f>IF((4*E856+3*E857+2*E858+E859)&gt;4,0,4*E856+3*E857+2*E858+E859)</f>
        <v>3.05</v>
      </c>
      <c r="H860" s="29"/>
    </row>
    <row r="861" spans="1:8" ht="15.75" customHeight="1" x14ac:dyDescent="0.25">
      <c r="A861" s="276"/>
      <c r="B861" s="279"/>
      <c r="C861" s="343" t="s">
        <v>565</v>
      </c>
      <c r="D861" s="71" t="s">
        <v>411</v>
      </c>
      <c r="E861" s="75">
        <v>0.45</v>
      </c>
      <c r="F861" s="8" t="s">
        <v>93</v>
      </c>
      <c r="H861" s="29"/>
    </row>
    <row r="862" spans="1:8" ht="15" customHeight="1" x14ac:dyDescent="0.25">
      <c r="A862" s="276"/>
      <c r="B862" s="279"/>
      <c r="C862" s="344"/>
      <c r="D862" s="71" t="s">
        <v>412</v>
      </c>
      <c r="E862" s="75">
        <v>0.3</v>
      </c>
      <c r="F862" s="8" t="s">
        <v>93</v>
      </c>
      <c r="H862" s="29"/>
    </row>
    <row r="863" spans="1:8" ht="15" customHeight="1" x14ac:dyDescent="0.25">
      <c r="A863" s="276"/>
      <c r="B863" s="279"/>
      <c r="C863" s="344"/>
      <c r="D863" s="71" t="s">
        <v>413</v>
      </c>
      <c r="E863" s="75">
        <v>0.2</v>
      </c>
      <c r="F863" s="8" t="s">
        <v>93</v>
      </c>
      <c r="H863" s="29"/>
    </row>
    <row r="864" spans="1:8" ht="15" customHeight="1" x14ac:dyDescent="0.25">
      <c r="A864" s="276"/>
      <c r="B864" s="279"/>
      <c r="C864" s="344"/>
      <c r="D864" s="71" t="s">
        <v>414</v>
      </c>
      <c r="E864" s="75">
        <v>0.05</v>
      </c>
      <c r="F864" s="8" t="s">
        <v>93</v>
      </c>
      <c r="H864" s="29"/>
    </row>
    <row r="865" spans="1:8" ht="15" customHeight="1" x14ac:dyDescent="0.25">
      <c r="A865" s="276"/>
      <c r="B865" s="279"/>
      <c r="C865" s="345"/>
      <c r="D865" s="72" t="s">
        <v>566</v>
      </c>
      <c r="E865" s="54">
        <f>IF((4*E861+3*E862+2*E863+E864)&gt;4,0,4*E861+3*E862+2*E863+E864)</f>
        <v>3.15</v>
      </c>
      <c r="H865" s="29"/>
    </row>
    <row r="866" spans="1:8" ht="15.75" customHeight="1" x14ac:dyDescent="0.25">
      <c r="A866" s="276"/>
      <c r="B866" s="279"/>
      <c r="C866" s="343" t="s">
        <v>567</v>
      </c>
      <c r="D866" s="71" t="s">
        <v>411</v>
      </c>
      <c r="E866" s="75">
        <v>0.25</v>
      </c>
      <c r="F866" s="8" t="s">
        <v>93</v>
      </c>
      <c r="H866" s="29"/>
    </row>
    <row r="867" spans="1:8" ht="15" customHeight="1" x14ac:dyDescent="0.25">
      <c r="A867" s="276"/>
      <c r="B867" s="279"/>
      <c r="C867" s="344"/>
      <c r="D867" s="71" t="s">
        <v>412</v>
      </c>
      <c r="E867" s="75">
        <v>0.4</v>
      </c>
      <c r="F867" s="8" t="s">
        <v>93</v>
      </c>
      <c r="H867" s="29"/>
    </row>
    <row r="868" spans="1:8" ht="15" customHeight="1" x14ac:dyDescent="0.25">
      <c r="A868" s="276"/>
      <c r="B868" s="279"/>
      <c r="C868" s="344"/>
      <c r="D868" s="71" t="s">
        <v>413</v>
      </c>
      <c r="E868" s="75">
        <v>0.3</v>
      </c>
      <c r="F868" s="8" t="s">
        <v>93</v>
      </c>
      <c r="H868" s="29"/>
    </row>
    <row r="869" spans="1:8" ht="15" customHeight="1" x14ac:dyDescent="0.25">
      <c r="A869" s="276"/>
      <c r="B869" s="279"/>
      <c r="C869" s="344"/>
      <c r="D869" s="71" t="s">
        <v>414</v>
      </c>
      <c r="E869" s="75">
        <v>0.05</v>
      </c>
      <c r="F869" s="8" t="s">
        <v>93</v>
      </c>
      <c r="H869" s="29"/>
    </row>
    <row r="870" spans="1:8" ht="15" customHeight="1" x14ac:dyDescent="0.25">
      <c r="A870" s="276"/>
      <c r="B870" s="279"/>
      <c r="C870" s="345"/>
      <c r="D870" s="72" t="s">
        <v>568</v>
      </c>
      <c r="E870" s="54">
        <f>IF((4*E866+3*E867+2*E868+E869)&gt;4,0,4*E866+3*E867+2*E868+E869)</f>
        <v>2.85</v>
      </c>
      <c r="H870" s="29"/>
    </row>
    <row r="871" spans="1:8" ht="15.75" customHeight="1" x14ac:dyDescent="0.25">
      <c r="A871" s="276"/>
      <c r="B871" s="279"/>
      <c r="C871" s="364" t="s">
        <v>569</v>
      </c>
      <c r="D871" s="71" t="s">
        <v>411</v>
      </c>
      <c r="E871" s="75">
        <v>0.3</v>
      </c>
      <c r="F871" s="8" t="s">
        <v>93</v>
      </c>
      <c r="H871" s="29"/>
    </row>
    <row r="872" spans="1:8" ht="15" customHeight="1" x14ac:dyDescent="0.25">
      <c r="A872" s="276"/>
      <c r="B872" s="279"/>
      <c r="C872" s="365"/>
      <c r="D872" s="71" t="s">
        <v>412</v>
      </c>
      <c r="E872" s="75">
        <v>0.35</v>
      </c>
      <c r="F872" s="8" t="s">
        <v>93</v>
      </c>
      <c r="H872" s="29"/>
    </row>
    <row r="873" spans="1:8" ht="15" customHeight="1" x14ac:dyDescent="0.25">
      <c r="A873" s="276"/>
      <c r="B873" s="279"/>
      <c r="C873" s="365"/>
      <c r="D873" s="71" t="s">
        <v>413</v>
      </c>
      <c r="E873" s="75">
        <v>0.2</v>
      </c>
      <c r="F873" s="8" t="s">
        <v>93</v>
      </c>
      <c r="H873" s="29"/>
    </row>
    <row r="874" spans="1:8" ht="15" customHeight="1" x14ac:dyDescent="0.25">
      <c r="A874" s="276"/>
      <c r="B874" s="279"/>
      <c r="C874" s="365"/>
      <c r="D874" s="71" t="s">
        <v>414</v>
      </c>
      <c r="E874" s="75">
        <v>0.15</v>
      </c>
      <c r="F874" s="8" t="s">
        <v>93</v>
      </c>
      <c r="H874" s="29"/>
    </row>
    <row r="875" spans="1:8" ht="15" customHeight="1" x14ac:dyDescent="0.25">
      <c r="A875" s="276"/>
      <c r="B875" s="279"/>
      <c r="C875" s="366"/>
      <c r="D875" s="72" t="s">
        <v>570</v>
      </c>
      <c r="E875" s="54">
        <f>IF((4*E871+3*E872+2*E873+E874)&gt;4,0,4*E871+3*E872+2*E873+E874)</f>
        <v>2.8</v>
      </c>
      <c r="H875" s="29"/>
    </row>
    <row r="876" spans="1:8" ht="15.75" customHeight="1" x14ac:dyDescent="0.25">
      <c r="A876" s="276"/>
      <c r="B876" s="279"/>
      <c r="C876" s="343" t="s">
        <v>571</v>
      </c>
      <c r="D876" s="71" t="s">
        <v>411</v>
      </c>
      <c r="E876" s="75">
        <v>0.45</v>
      </c>
      <c r="F876" s="8" t="s">
        <v>93</v>
      </c>
      <c r="H876" s="29"/>
    </row>
    <row r="877" spans="1:8" ht="15" customHeight="1" x14ac:dyDescent="0.25">
      <c r="A877" s="276"/>
      <c r="B877" s="279"/>
      <c r="C877" s="344"/>
      <c r="D877" s="71" t="s">
        <v>412</v>
      </c>
      <c r="E877" s="75">
        <v>0.3</v>
      </c>
      <c r="F877" s="8" t="s">
        <v>93</v>
      </c>
      <c r="H877" s="29"/>
    </row>
    <row r="878" spans="1:8" ht="15" customHeight="1" x14ac:dyDescent="0.25">
      <c r="A878" s="276"/>
      <c r="B878" s="279"/>
      <c r="C878" s="344"/>
      <c r="D878" s="71" t="s">
        <v>413</v>
      </c>
      <c r="E878" s="75">
        <v>0.15</v>
      </c>
      <c r="F878" s="8" t="s">
        <v>93</v>
      </c>
      <c r="H878" s="29"/>
    </row>
    <row r="879" spans="1:8" ht="15" customHeight="1" x14ac:dyDescent="0.25">
      <c r="A879" s="276"/>
      <c r="B879" s="279"/>
      <c r="C879" s="344"/>
      <c r="D879" s="71" t="s">
        <v>414</v>
      </c>
      <c r="E879" s="75">
        <v>0.1</v>
      </c>
      <c r="F879" s="8" t="s">
        <v>93</v>
      </c>
      <c r="H879" s="29"/>
    </row>
    <row r="880" spans="1:8" ht="15" customHeight="1" x14ac:dyDescent="0.25">
      <c r="A880" s="276"/>
      <c r="B880" s="279"/>
      <c r="C880" s="345"/>
      <c r="D880" s="72" t="s">
        <v>572</v>
      </c>
      <c r="E880" s="54">
        <f>IF((4*E876+3*E877+2*E878+E879)&gt;4,0,4*E876+3*E877+2*E878+E879)</f>
        <v>3.1</v>
      </c>
      <c r="H880" s="29"/>
    </row>
    <row r="881" spans="1:8" ht="15.75" customHeight="1" x14ac:dyDescent="0.25">
      <c r="A881" s="276"/>
      <c r="B881" s="279"/>
      <c r="C881" s="343" t="s">
        <v>573</v>
      </c>
      <c r="D881" s="71" t="s">
        <v>411</v>
      </c>
      <c r="E881" s="75">
        <v>0.4</v>
      </c>
      <c r="F881" s="8" t="s">
        <v>93</v>
      </c>
      <c r="H881" s="29"/>
    </row>
    <row r="882" spans="1:8" ht="15" customHeight="1" x14ac:dyDescent="0.25">
      <c r="A882" s="276"/>
      <c r="B882" s="279"/>
      <c r="C882" s="344"/>
      <c r="D882" s="71" t="s">
        <v>412</v>
      </c>
      <c r="E882" s="75">
        <v>0.35</v>
      </c>
      <c r="F882" s="8" t="s">
        <v>93</v>
      </c>
      <c r="H882" s="29"/>
    </row>
    <row r="883" spans="1:8" ht="15" customHeight="1" x14ac:dyDescent="0.25">
      <c r="A883" s="276"/>
      <c r="B883" s="279"/>
      <c r="C883" s="344"/>
      <c r="D883" s="71" t="s">
        <v>413</v>
      </c>
      <c r="E883" s="75">
        <v>0.2</v>
      </c>
      <c r="F883" s="8" t="s">
        <v>93</v>
      </c>
      <c r="H883" s="29"/>
    </row>
    <row r="884" spans="1:8" ht="15" customHeight="1" x14ac:dyDescent="0.25">
      <c r="A884" s="276"/>
      <c r="B884" s="279"/>
      <c r="C884" s="344"/>
      <c r="D884" s="71" t="s">
        <v>414</v>
      </c>
      <c r="E884" s="75">
        <v>0.05</v>
      </c>
      <c r="F884" s="8" t="s">
        <v>93</v>
      </c>
      <c r="H884" s="29"/>
    </row>
    <row r="885" spans="1:8" ht="15" customHeight="1" x14ac:dyDescent="0.25">
      <c r="A885" s="276"/>
      <c r="B885" s="279"/>
      <c r="C885" s="345"/>
      <c r="D885" s="72" t="s">
        <v>574</v>
      </c>
      <c r="E885" s="54">
        <f>IF((4*E881+3*E882+2*E883+E884)&gt;4,0,4*E881+3*E882+2*E883+E884)</f>
        <v>3.0999999999999996</v>
      </c>
      <c r="H885" s="29"/>
    </row>
    <row r="886" spans="1:8" ht="15.75" customHeight="1" x14ac:dyDescent="0.25">
      <c r="A886" s="276"/>
      <c r="B886" s="279"/>
      <c r="C886" s="364" t="s">
        <v>575</v>
      </c>
      <c r="D886" s="71" t="s">
        <v>411</v>
      </c>
      <c r="E886" s="75">
        <v>0.3</v>
      </c>
      <c r="F886" s="8" t="s">
        <v>93</v>
      </c>
      <c r="H886" s="29"/>
    </row>
    <row r="887" spans="1:8" ht="15" customHeight="1" x14ac:dyDescent="0.25">
      <c r="A887" s="276"/>
      <c r="B887" s="279"/>
      <c r="C887" s="365"/>
      <c r="D887" s="71" t="s">
        <v>412</v>
      </c>
      <c r="E887" s="75">
        <v>0.45</v>
      </c>
      <c r="F887" s="8" t="s">
        <v>93</v>
      </c>
      <c r="H887" s="29"/>
    </row>
    <row r="888" spans="1:8" ht="15" customHeight="1" x14ac:dyDescent="0.25">
      <c r="A888" s="276"/>
      <c r="B888" s="279"/>
      <c r="C888" s="365"/>
      <c r="D888" s="71" t="s">
        <v>413</v>
      </c>
      <c r="E888" s="75">
        <v>0.2</v>
      </c>
      <c r="F888" s="8" t="s">
        <v>93</v>
      </c>
      <c r="H888" s="29"/>
    </row>
    <row r="889" spans="1:8" ht="15" customHeight="1" x14ac:dyDescent="0.25">
      <c r="A889" s="276"/>
      <c r="B889" s="279"/>
      <c r="C889" s="365"/>
      <c r="D889" s="71" t="s">
        <v>414</v>
      </c>
      <c r="E889" s="75">
        <v>0.05</v>
      </c>
      <c r="F889" s="8" t="s">
        <v>93</v>
      </c>
      <c r="H889" s="29"/>
    </row>
    <row r="890" spans="1:8" ht="15" customHeight="1" x14ac:dyDescent="0.25">
      <c r="A890" s="276"/>
      <c r="B890" s="279"/>
      <c r="C890" s="366"/>
      <c r="D890" s="72" t="s">
        <v>576</v>
      </c>
      <c r="E890" s="54">
        <f>IF((4*E886+3*E887+2*E888+E889)&gt;4,0,4*E886+3*E887+2*E888+E889)</f>
        <v>2.9999999999999996</v>
      </c>
      <c r="H890" s="29"/>
    </row>
    <row r="891" spans="1:8" ht="15" customHeight="1" x14ac:dyDescent="0.25">
      <c r="A891" s="276"/>
      <c r="B891" s="279"/>
      <c r="C891" s="282" t="s">
        <v>532</v>
      </c>
      <c r="D891" s="283"/>
      <c r="E891" s="60">
        <f>(E860+E865+E870+E875+E880+E885+E890)/7</f>
        <v>3.0071428571428567</v>
      </c>
      <c r="H891" s="29"/>
    </row>
    <row r="892" spans="1:8" ht="15" customHeight="1" x14ac:dyDescent="0.25">
      <c r="A892" s="277"/>
      <c r="B892" s="280"/>
      <c r="C892" s="289" t="s">
        <v>33</v>
      </c>
      <c r="D892" s="290"/>
      <c r="E892" s="25">
        <f>IF(E853&gt;=E854,E891,E853/E854*E891)</f>
        <v>0</v>
      </c>
      <c r="H892" s="29"/>
    </row>
    <row r="893" spans="1:8" ht="15" customHeight="1" x14ac:dyDescent="0.25">
      <c r="C893" s="39"/>
      <c r="D893" s="69"/>
      <c r="H893" s="40"/>
    </row>
    <row r="894" spans="1:8" ht="65.45" customHeight="1" x14ac:dyDescent="0.25">
      <c r="A894" s="275">
        <v>64</v>
      </c>
      <c r="B894" s="278" t="s">
        <v>577</v>
      </c>
      <c r="C894" s="281" t="s">
        <v>578</v>
      </c>
      <c r="D894" s="281"/>
      <c r="E894" s="200"/>
      <c r="H894" s="212"/>
    </row>
    <row r="895" spans="1:8" ht="15" customHeight="1" x14ac:dyDescent="0.25">
      <c r="A895" s="276"/>
      <c r="B895" s="279"/>
      <c r="C895" s="282" t="s">
        <v>241</v>
      </c>
      <c r="D895" s="283"/>
      <c r="E895" s="98">
        <v>0</v>
      </c>
      <c r="F895" s="8" t="s">
        <v>93</v>
      </c>
      <c r="G895" s="37"/>
      <c r="H895" s="29"/>
    </row>
    <row r="896" spans="1:8" ht="15" customHeight="1" x14ac:dyDescent="0.25">
      <c r="A896" s="276"/>
      <c r="B896" s="279"/>
      <c r="C896" s="282" t="s">
        <v>242</v>
      </c>
      <c r="D896" s="283"/>
      <c r="E896" s="98">
        <v>0</v>
      </c>
      <c r="F896" s="8" t="s">
        <v>93</v>
      </c>
      <c r="G896" s="37"/>
      <c r="H896" s="29"/>
    </row>
    <row r="897" spans="1:8" ht="15" customHeight="1" x14ac:dyDescent="0.25">
      <c r="A897" s="276"/>
      <c r="B897" s="279"/>
      <c r="C897" s="282" t="s">
        <v>243</v>
      </c>
      <c r="D897" s="283"/>
      <c r="E897" s="98">
        <v>0</v>
      </c>
      <c r="F897" s="8" t="s">
        <v>93</v>
      </c>
      <c r="G897" s="37"/>
      <c r="H897" s="29"/>
    </row>
    <row r="898" spans="1:8" ht="15" customHeight="1" x14ac:dyDescent="0.25">
      <c r="A898" s="276"/>
      <c r="B898" s="279"/>
      <c r="C898" s="282" t="s">
        <v>244</v>
      </c>
      <c r="D898" s="283"/>
      <c r="E898" s="98">
        <v>0</v>
      </c>
      <c r="F898" s="8" t="s">
        <v>93</v>
      </c>
      <c r="G898" s="37"/>
      <c r="H898" s="29"/>
    </row>
    <row r="899" spans="1:8" ht="15" customHeight="1" x14ac:dyDescent="0.25">
      <c r="A899" s="276"/>
      <c r="B899" s="279"/>
      <c r="C899" s="282" t="s">
        <v>245</v>
      </c>
      <c r="D899" s="283"/>
      <c r="E899" s="98">
        <v>11</v>
      </c>
      <c r="F899" s="8" t="s">
        <v>93</v>
      </c>
      <c r="G899" s="37"/>
      <c r="H899" s="29"/>
    </row>
    <row r="900" spans="1:8" ht="15" customHeight="1" x14ac:dyDescent="0.25">
      <c r="A900" s="276"/>
      <c r="B900" s="279"/>
      <c r="C900" s="282" t="s">
        <v>246</v>
      </c>
      <c r="D900" s="283"/>
      <c r="E900" s="98">
        <v>14</v>
      </c>
      <c r="F900" s="8" t="s">
        <v>93</v>
      </c>
      <c r="G900" s="37"/>
      <c r="H900" s="29"/>
    </row>
    <row r="901" spans="1:8" ht="15" customHeight="1" x14ac:dyDescent="0.25">
      <c r="A901" s="276"/>
      <c r="B901" s="279"/>
      <c r="C901" s="282" t="s">
        <v>247</v>
      </c>
      <c r="D901" s="283"/>
      <c r="E901" s="98">
        <v>0</v>
      </c>
      <c r="F901" s="8" t="s">
        <v>93</v>
      </c>
      <c r="G901" s="37"/>
      <c r="H901" s="29"/>
    </row>
    <row r="902" spans="1:8" ht="15" customHeight="1" x14ac:dyDescent="0.25">
      <c r="A902" s="276"/>
      <c r="B902" s="279"/>
      <c r="C902" s="282" t="s">
        <v>248</v>
      </c>
      <c r="D902" s="283"/>
      <c r="E902" s="98">
        <v>0</v>
      </c>
      <c r="F902" s="8" t="s">
        <v>93</v>
      </c>
      <c r="G902" s="37"/>
      <c r="H902" s="29"/>
    </row>
    <row r="903" spans="1:8" ht="15" customHeight="1" x14ac:dyDescent="0.25">
      <c r="A903" s="276"/>
      <c r="B903" s="279"/>
      <c r="C903" s="282" t="s">
        <v>249</v>
      </c>
      <c r="D903" s="283"/>
      <c r="E903" s="98">
        <v>0</v>
      </c>
      <c r="F903" s="8" t="s">
        <v>93</v>
      </c>
      <c r="G903" s="37"/>
      <c r="H903" s="29"/>
    </row>
    <row r="904" spans="1:8" ht="15" customHeight="1" x14ac:dyDescent="0.25">
      <c r="A904" s="276"/>
      <c r="B904" s="279"/>
      <c r="C904" s="282" t="s">
        <v>250</v>
      </c>
      <c r="D904" s="283"/>
      <c r="E904" s="98">
        <v>0</v>
      </c>
      <c r="F904" s="8" t="s">
        <v>93</v>
      </c>
      <c r="G904" s="37"/>
      <c r="H904" s="29"/>
    </row>
    <row r="905" spans="1:8" ht="15" customHeight="1" x14ac:dyDescent="0.25">
      <c r="A905" s="276"/>
      <c r="B905" s="279"/>
      <c r="C905" s="282" t="s">
        <v>579</v>
      </c>
      <c r="D905" s="283"/>
      <c r="E905" s="98">
        <v>218</v>
      </c>
      <c r="F905" s="8" t="s">
        <v>93</v>
      </c>
      <c r="G905" s="37"/>
      <c r="H905" s="29"/>
    </row>
    <row r="906" spans="1:8" ht="15" customHeight="1" x14ac:dyDescent="0.25">
      <c r="A906" s="276"/>
      <c r="B906" s="279"/>
      <c r="C906" s="282" t="s">
        <v>251</v>
      </c>
      <c r="D906" s="283"/>
      <c r="E906" s="190">
        <f>IF(E905&gt;0,(E898+E901+E904)/E905,0)</f>
        <v>0</v>
      </c>
      <c r="G906" s="41"/>
      <c r="H906" s="29"/>
    </row>
    <row r="907" spans="1:8" ht="15.75" customHeight="1" x14ac:dyDescent="0.25">
      <c r="A907" s="276"/>
      <c r="B907" s="279"/>
      <c r="C907" s="282" t="s">
        <v>252</v>
      </c>
      <c r="D907" s="283"/>
      <c r="E907" s="190">
        <f>IF(E905&gt;0,(E896+E897+E900+E903)/E905,0)</f>
        <v>6.4220183486238536E-2</v>
      </c>
      <c r="G907" s="41"/>
      <c r="H907" s="29"/>
    </row>
    <row r="908" spans="1:8" ht="15.75" customHeight="1" x14ac:dyDescent="0.25">
      <c r="A908" s="276"/>
      <c r="B908" s="279"/>
      <c r="C908" s="282" t="s">
        <v>253</v>
      </c>
      <c r="D908" s="283"/>
      <c r="E908" s="190">
        <f>IF(E905&gt;0,(E895+E899+E902)/E905,0)</f>
        <v>5.0458715596330278E-2</v>
      </c>
      <c r="G908" s="41"/>
      <c r="H908" s="29"/>
    </row>
    <row r="909" spans="1:8" ht="15.75" hidden="1" customHeight="1" x14ac:dyDescent="0.25">
      <c r="A909" s="276"/>
      <c r="B909" s="279"/>
      <c r="C909" s="172" t="s">
        <v>98</v>
      </c>
      <c r="D909" s="205">
        <v>0.01</v>
      </c>
      <c r="E909" s="122"/>
      <c r="G909" s="41"/>
      <c r="H909" s="29"/>
    </row>
    <row r="910" spans="1:8" ht="15.75" hidden="1" customHeight="1" x14ac:dyDescent="0.25">
      <c r="A910" s="276"/>
      <c r="B910" s="279"/>
      <c r="C910" s="172" t="s">
        <v>99</v>
      </c>
      <c r="D910" s="205">
        <v>0.1</v>
      </c>
      <c r="E910" s="122"/>
      <c r="G910" s="41"/>
      <c r="H910" s="29"/>
    </row>
    <row r="911" spans="1:8" ht="15.75" hidden="1" customHeight="1" x14ac:dyDescent="0.25">
      <c r="A911" s="276"/>
      <c r="B911" s="279"/>
      <c r="C911" s="172" t="s">
        <v>100</v>
      </c>
      <c r="D911" s="205">
        <v>0.5</v>
      </c>
      <c r="E911" s="122"/>
      <c r="G911" s="41"/>
      <c r="H911" s="29"/>
    </row>
    <row r="912" spans="1:8" ht="15.75" hidden="1" customHeight="1" x14ac:dyDescent="0.25">
      <c r="A912" s="276"/>
      <c r="B912" s="279"/>
      <c r="C912" s="124"/>
      <c r="D912" s="125" t="s">
        <v>231</v>
      </c>
      <c r="E912" s="126" t="str">
        <f>IF(E906&gt;=D909,"YES","NO")</f>
        <v>NO</v>
      </c>
      <c r="G912" s="41"/>
      <c r="H912" s="29"/>
    </row>
    <row r="913" spans="1:8" ht="15.75" hidden="1" customHeight="1" x14ac:dyDescent="0.25">
      <c r="A913" s="276"/>
      <c r="B913" s="279"/>
      <c r="C913" s="124"/>
      <c r="D913" s="125" t="s">
        <v>232</v>
      </c>
      <c r="E913" s="126" t="str">
        <f>IF(AND(E906&lt;D909,E907&gt;=D910),"YES","NO")</f>
        <v>NO</v>
      </c>
      <c r="G913" s="41"/>
      <c r="H913" s="29"/>
    </row>
    <row r="914" spans="1:8" ht="15.75" hidden="1" customHeight="1" x14ac:dyDescent="0.25">
      <c r="A914" s="276"/>
      <c r="B914" s="279"/>
      <c r="C914" s="124"/>
      <c r="D914" s="125" t="s">
        <v>233</v>
      </c>
      <c r="E914" s="126" t="str">
        <f>IF(OR(AND(E906&gt;0,E906&lt;D909,E907=0),AND(E907&gt;0,E907&lt;D910,E906=0),AND(E906&gt;0,E906&lt;D909,E907&gt;0,E907&lt;D910)),"YES","NO")</f>
        <v>YES</v>
      </c>
      <c r="G914" s="41"/>
      <c r="H914" s="29"/>
    </row>
    <row r="915" spans="1:8" ht="15.75" hidden="1" customHeight="1" x14ac:dyDescent="0.25">
      <c r="A915" s="276"/>
      <c r="B915" s="279"/>
      <c r="C915" s="124"/>
      <c r="D915" s="125" t="s">
        <v>234</v>
      </c>
      <c r="E915" s="126" t="str">
        <f>IF(AND(E906=0,E907=0,E908&gt;=D911),"YES","NO")</f>
        <v>NO</v>
      </c>
      <c r="G915" s="41"/>
      <c r="H915" s="29"/>
    </row>
    <row r="916" spans="1:8" ht="15.75" hidden="1" customHeight="1" x14ac:dyDescent="0.25">
      <c r="A916" s="276"/>
      <c r="B916" s="279"/>
      <c r="C916" s="124"/>
      <c r="D916" s="125" t="s">
        <v>235</v>
      </c>
      <c r="E916" s="126" t="str">
        <f>IF(AND(E906=0,E907=0,E908&lt;D911),"YES","NO")</f>
        <v>NO</v>
      </c>
      <c r="G916" s="41"/>
      <c r="H916" s="29"/>
    </row>
    <row r="917" spans="1:8" ht="15" customHeight="1" x14ac:dyDescent="0.25">
      <c r="A917" s="277"/>
      <c r="B917" s="280"/>
      <c r="C917" s="301" t="s">
        <v>33</v>
      </c>
      <c r="D917" s="302"/>
      <c r="E917" s="194">
        <f>IF(E912="YES",4,IF(E913="YES",3+E906/D909,IF(E914="YES",2+2*E906/D909+E907/D910-(E906*E907)/(D909*D910),IF(E915="YES",2,2*E908/D911))))</f>
        <v>2.6422018348623855</v>
      </c>
      <c r="G917" s="38"/>
      <c r="H917" s="29"/>
    </row>
    <row r="918" spans="1:8" ht="15" customHeight="1" x14ac:dyDescent="0.25">
      <c r="C918" s="39"/>
      <c r="D918" s="69"/>
      <c r="H918" s="40"/>
    </row>
    <row r="919" spans="1:8" ht="50.45" hidden="1" customHeight="1" x14ac:dyDescent="0.25">
      <c r="A919" s="310"/>
      <c r="B919" s="307"/>
      <c r="C919" s="370"/>
      <c r="D919" s="370"/>
      <c r="E919" s="100"/>
      <c r="H919" s="212"/>
    </row>
    <row r="920" spans="1:8" ht="15" hidden="1" customHeight="1" x14ac:dyDescent="0.25">
      <c r="A920" s="311"/>
      <c r="B920" s="308"/>
      <c r="C920" s="371"/>
      <c r="D920" s="372"/>
      <c r="E920" s="94"/>
      <c r="G920" s="37"/>
      <c r="H920" s="29"/>
    </row>
    <row r="921" spans="1:8" ht="15" hidden="1" customHeight="1" x14ac:dyDescent="0.25">
      <c r="A921" s="311"/>
      <c r="B921" s="308"/>
      <c r="C921" s="124"/>
      <c r="D921" s="125"/>
      <c r="E921" s="206"/>
      <c r="G921" s="37"/>
      <c r="H921" s="29"/>
    </row>
    <row r="922" spans="1:8" ht="15" hidden="1" customHeight="1" x14ac:dyDescent="0.25">
      <c r="A922" s="312"/>
      <c r="B922" s="309"/>
      <c r="C922" s="373"/>
      <c r="D922" s="374"/>
      <c r="E922" s="96"/>
      <c r="G922" s="38"/>
      <c r="H922" s="29"/>
    </row>
    <row r="923" spans="1:8" ht="15" hidden="1" customHeight="1" x14ac:dyDescent="0.25">
      <c r="C923" s="39"/>
      <c r="D923" s="69"/>
      <c r="H923" s="40"/>
    </row>
    <row r="924" spans="1:8" ht="63.6" hidden="1" customHeight="1" x14ac:dyDescent="0.25">
      <c r="A924" s="310"/>
      <c r="B924" s="307"/>
      <c r="C924" s="291"/>
      <c r="D924" s="291"/>
      <c r="E924" s="196"/>
      <c r="H924" s="212"/>
    </row>
    <row r="925" spans="1:8" ht="34.35" hidden="1" customHeight="1" x14ac:dyDescent="0.25">
      <c r="A925" s="311"/>
      <c r="B925" s="308"/>
      <c r="C925" s="292"/>
      <c r="D925" s="293"/>
      <c r="E925" s="197"/>
      <c r="G925" s="37"/>
      <c r="H925" s="29"/>
    </row>
    <row r="926" spans="1:8" ht="14.45" hidden="1" customHeight="1" x14ac:dyDescent="0.25">
      <c r="A926" s="311"/>
      <c r="B926" s="308"/>
      <c r="C926" s="203"/>
      <c r="D926" s="204"/>
      <c r="E926" s="207"/>
      <c r="G926" s="37"/>
      <c r="H926" s="29"/>
    </row>
    <row r="927" spans="1:8" ht="15" hidden="1" customHeight="1" x14ac:dyDescent="0.25">
      <c r="A927" s="312"/>
      <c r="B927" s="309"/>
      <c r="C927" s="313"/>
      <c r="D927" s="314"/>
      <c r="E927" s="208"/>
      <c r="G927" s="38"/>
      <c r="H927" s="29"/>
    </row>
    <row r="928" spans="1:8" ht="15" hidden="1" customHeight="1" x14ac:dyDescent="0.25">
      <c r="C928" s="39"/>
      <c r="D928" s="69"/>
      <c r="H928" s="40"/>
    </row>
    <row r="929" spans="1:8" ht="48.75" customHeight="1" x14ac:dyDescent="0.25">
      <c r="A929" s="275">
        <v>65</v>
      </c>
      <c r="B929" s="278"/>
      <c r="C929" s="281" t="s">
        <v>580</v>
      </c>
      <c r="D929" s="281"/>
      <c r="E929" s="101"/>
      <c r="H929" s="212"/>
    </row>
    <row r="930" spans="1:8" ht="29.25" customHeight="1" x14ac:dyDescent="0.25">
      <c r="A930" s="276"/>
      <c r="B930" s="279"/>
      <c r="C930" s="282" t="s">
        <v>258</v>
      </c>
      <c r="D930" s="283"/>
      <c r="E930" s="98">
        <v>0</v>
      </c>
      <c r="F930" s="8" t="s">
        <v>93</v>
      </c>
      <c r="G930" s="37"/>
      <c r="H930" s="29"/>
    </row>
    <row r="931" spans="1:8" ht="44.25" customHeight="1" x14ac:dyDescent="0.25">
      <c r="A931" s="276"/>
      <c r="B931" s="279"/>
      <c r="C931" s="282" t="s">
        <v>259</v>
      </c>
      <c r="D931" s="283"/>
      <c r="E931" s="98">
        <v>0</v>
      </c>
      <c r="F931" s="8" t="s">
        <v>93</v>
      </c>
      <c r="G931" s="37"/>
      <c r="H931" s="29"/>
    </row>
    <row r="932" spans="1:8" ht="43.5" customHeight="1" x14ac:dyDescent="0.25">
      <c r="A932" s="276"/>
      <c r="B932" s="279"/>
      <c r="C932" s="282" t="s">
        <v>260</v>
      </c>
      <c r="D932" s="283"/>
      <c r="E932" s="98">
        <v>0</v>
      </c>
      <c r="F932" s="8" t="s">
        <v>93</v>
      </c>
      <c r="G932" s="37"/>
      <c r="H932" s="29"/>
    </row>
    <row r="933" spans="1:8" ht="29.25" customHeight="1" x14ac:dyDescent="0.25">
      <c r="A933" s="276"/>
      <c r="B933" s="279"/>
      <c r="C933" s="282" t="s">
        <v>261</v>
      </c>
      <c r="D933" s="283"/>
      <c r="E933" s="98">
        <v>0</v>
      </c>
      <c r="F933" s="8" t="s">
        <v>93</v>
      </c>
      <c r="G933" s="37"/>
      <c r="H933" s="29"/>
    </row>
    <row r="934" spans="1:8" ht="15" customHeight="1" x14ac:dyDescent="0.25">
      <c r="A934" s="276"/>
      <c r="B934" s="279"/>
      <c r="C934" s="282" t="s">
        <v>581</v>
      </c>
      <c r="D934" s="283"/>
      <c r="E934" s="99">
        <f>2*(E930+E931+E932)+E933</f>
        <v>0</v>
      </c>
      <c r="G934" s="37"/>
      <c r="H934" s="29"/>
    </row>
    <row r="935" spans="1:8" ht="14.45" hidden="1" customHeight="1" x14ac:dyDescent="0.25">
      <c r="A935" s="276"/>
      <c r="B935" s="279"/>
      <c r="C935" s="124" t="s">
        <v>151</v>
      </c>
      <c r="D935" s="125">
        <v>1</v>
      </c>
      <c r="E935" s="195"/>
      <c r="G935" s="37"/>
      <c r="H935" s="29"/>
    </row>
    <row r="936" spans="1:8" ht="15" customHeight="1" x14ac:dyDescent="0.25">
      <c r="A936" s="277"/>
      <c r="B936" s="280"/>
      <c r="C936" s="301" t="s">
        <v>33</v>
      </c>
      <c r="D936" s="302"/>
      <c r="E936" s="194">
        <f>IF(E934&gt;=D935,4,2+2/D935*E934)</f>
        <v>2</v>
      </c>
      <c r="G936" s="38"/>
      <c r="H936" s="29"/>
    </row>
    <row r="937" spans="1:8" ht="15" customHeight="1" x14ac:dyDescent="0.25">
      <c r="C937" s="39"/>
      <c r="D937" s="69"/>
      <c r="H937" s="40"/>
    </row>
    <row r="938" spans="1:8" ht="50.25" customHeight="1" x14ac:dyDescent="0.25">
      <c r="A938" s="275">
        <v>66</v>
      </c>
      <c r="B938" s="284" t="s">
        <v>582</v>
      </c>
      <c r="C938" s="287" t="s">
        <v>583</v>
      </c>
      <c r="D938" s="288"/>
      <c r="E938" s="21">
        <v>0</v>
      </c>
      <c r="F938" s="8" t="str">
        <f>IF(OR(ISBLANK(E938),E938&gt;4),"Salah isi","judge")</f>
        <v>judge</v>
      </c>
      <c r="H938" s="263"/>
    </row>
    <row r="939" spans="1:8" ht="144.94999999999999" customHeight="1" x14ac:dyDescent="0.25">
      <c r="A939" s="276"/>
      <c r="B939" s="285"/>
      <c r="C939" s="22">
        <v>4</v>
      </c>
      <c r="D939" s="61" t="s">
        <v>584</v>
      </c>
      <c r="E939" s="23"/>
      <c r="H939" s="29"/>
    </row>
    <row r="940" spans="1:8" ht="159.6" customHeight="1" x14ac:dyDescent="0.25">
      <c r="A940" s="276"/>
      <c r="B940" s="285"/>
      <c r="C940" s="22">
        <v>3</v>
      </c>
      <c r="D940" s="61" t="s">
        <v>585</v>
      </c>
      <c r="E940" s="23"/>
      <c r="H940" s="29"/>
    </row>
    <row r="941" spans="1:8" ht="144.94999999999999" customHeight="1" x14ac:dyDescent="0.25">
      <c r="A941" s="276"/>
      <c r="B941" s="285"/>
      <c r="C941" s="22">
        <v>2</v>
      </c>
      <c r="D941" s="61" t="s">
        <v>586</v>
      </c>
      <c r="E941" s="23"/>
      <c r="H941" s="29"/>
    </row>
    <row r="942" spans="1:8" ht="130.5" customHeight="1" x14ac:dyDescent="0.25">
      <c r="A942" s="276"/>
      <c r="B942" s="285"/>
      <c r="C942" s="22">
        <v>1</v>
      </c>
      <c r="D942" s="61" t="s">
        <v>587</v>
      </c>
      <c r="E942" s="23"/>
      <c r="H942" s="29"/>
    </row>
    <row r="943" spans="1:8" x14ac:dyDescent="0.25">
      <c r="A943" s="276"/>
      <c r="B943" s="285"/>
      <c r="C943" s="22">
        <v>0</v>
      </c>
      <c r="D943" s="61" t="s">
        <v>588</v>
      </c>
      <c r="E943" s="24"/>
      <c r="H943" s="29"/>
    </row>
    <row r="944" spans="1:8" ht="15" customHeight="1" x14ac:dyDescent="0.25">
      <c r="A944" s="277"/>
      <c r="B944" s="286"/>
      <c r="C944" s="289" t="s">
        <v>33</v>
      </c>
      <c r="D944" s="290"/>
      <c r="E944" s="25">
        <f>IF(F938="Salah isi",0,E938)</f>
        <v>0</v>
      </c>
      <c r="H944" s="29"/>
    </row>
    <row r="945" spans="1:8" ht="15" customHeight="1" x14ac:dyDescent="0.25">
      <c r="A945" s="26"/>
      <c r="B945" s="26"/>
      <c r="C945" s="27"/>
      <c r="D945" s="63"/>
      <c r="E945" s="28"/>
      <c r="H945" s="29"/>
    </row>
    <row r="946" spans="1:8" ht="50.25" customHeight="1" x14ac:dyDescent="0.25">
      <c r="A946" s="275">
        <v>67</v>
      </c>
      <c r="B946" s="284" t="s">
        <v>589</v>
      </c>
      <c r="C946" s="287" t="s">
        <v>590</v>
      </c>
      <c r="D946" s="288"/>
      <c r="E946" s="21">
        <v>0</v>
      </c>
      <c r="F946" s="8" t="str">
        <f>IF(OR(ISBLANK(E946),E946&gt;4),"Salah isi","judge")</f>
        <v>judge</v>
      </c>
      <c r="H946" s="263"/>
    </row>
    <row r="947" spans="1:8" ht="144.94999999999999" customHeight="1" x14ac:dyDescent="0.25">
      <c r="A947" s="276"/>
      <c r="B947" s="285"/>
      <c r="C947" s="22">
        <v>4</v>
      </c>
      <c r="D947" s="61" t="s">
        <v>591</v>
      </c>
      <c r="E947" s="23"/>
      <c r="H947" s="29"/>
    </row>
    <row r="948" spans="1:8" ht="101.45" customHeight="1" x14ac:dyDescent="0.25">
      <c r="A948" s="276"/>
      <c r="B948" s="285"/>
      <c r="C948" s="22">
        <v>3</v>
      </c>
      <c r="D948" s="61" t="s">
        <v>592</v>
      </c>
      <c r="E948" s="23"/>
      <c r="H948" s="29"/>
    </row>
    <row r="949" spans="1:8" ht="87" customHeight="1" x14ac:dyDescent="0.25">
      <c r="A949" s="276"/>
      <c r="B949" s="285"/>
      <c r="C949" s="22">
        <v>2</v>
      </c>
      <c r="D949" s="61" t="s">
        <v>593</v>
      </c>
      <c r="E949" s="23"/>
      <c r="H949" s="29"/>
    </row>
    <row r="950" spans="1:8" ht="101.45" customHeight="1" x14ac:dyDescent="0.25">
      <c r="A950" s="276"/>
      <c r="B950" s="285"/>
      <c r="C950" s="22">
        <v>1</v>
      </c>
      <c r="D950" s="61" t="s">
        <v>594</v>
      </c>
      <c r="E950" s="23"/>
      <c r="H950" s="29"/>
    </row>
    <row r="951" spans="1:8" x14ac:dyDescent="0.25">
      <c r="A951" s="276"/>
      <c r="B951" s="285"/>
      <c r="C951" s="22">
        <v>0</v>
      </c>
      <c r="D951" s="61" t="s">
        <v>595</v>
      </c>
      <c r="E951" s="24"/>
      <c r="H951" s="29"/>
    </row>
    <row r="952" spans="1:8" ht="15" customHeight="1" x14ac:dyDescent="0.25">
      <c r="A952" s="277"/>
      <c r="B952" s="286"/>
      <c r="C952" s="289" t="s">
        <v>33</v>
      </c>
      <c r="D952" s="290"/>
      <c r="E952" s="25">
        <f>IF(F946="Salah isi",0,E946)</f>
        <v>0</v>
      </c>
      <c r="H952" s="29"/>
    </row>
    <row r="953" spans="1:8" ht="15" customHeight="1" x14ac:dyDescent="0.25">
      <c r="H953" s="217"/>
    </row>
    <row r="954" spans="1:8" ht="50.25" customHeight="1" x14ac:dyDescent="0.25">
      <c r="A954" s="275">
        <v>68</v>
      </c>
      <c r="B954" s="284" t="s">
        <v>596</v>
      </c>
      <c r="C954" s="287" t="s">
        <v>597</v>
      </c>
      <c r="D954" s="288"/>
      <c r="E954" s="21"/>
      <c r="F954" s="8" t="str">
        <f>IF(OR(ISBLANK(E954),E954&gt;4),"Salah isi","judge")</f>
        <v>Salah isi</v>
      </c>
      <c r="H954" s="263"/>
    </row>
    <row r="955" spans="1:8" ht="116.1" customHeight="1" x14ac:dyDescent="0.25">
      <c r="A955" s="276"/>
      <c r="B955" s="285"/>
      <c r="C955" s="22">
        <v>4</v>
      </c>
      <c r="D955" s="61" t="s">
        <v>598</v>
      </c>
      <c r="E955" s="23"/>
      <c r="H955" s="29"/>
    </row>
    <row r="956" spans="1:8" ht="101.45" customHeight="1" x14ac:dyDescent="0.25">
      <c r="A956" s="276"/>
      <c r="B956" s="285"/>
      <c r="C956" s="22">
        <v>3</v>
      </c>
      <c r="D956" s="61" t="s">
        <v>599</v>
      </c>
      <c r="E956" s="23"/>
      <c r="H956" s="29"/>
    </row>
    <row r="957" spans="1:8" ht="87" customHeight="1" x14ac:dyDescent="0.25">
      <c r="A957" s="276"/>
      <c r="B957" s="285"/>
      <c r="C957" s="22">
        <v>2</v>
      </c>
      <c r="D957" s="61" t="s">
        <v>600</v>
      </c>
      <c r="E957" s="23"/>
      <c r="H957" s="29"/>
    </row>
    <row r="958" spans="1:8" ht="72.599999999999994" customHeight="1" x14ac:dyDescent="0.25">
      <c r="A958" s="276"/>
      <c r="B958" s="285"/>
      <c r="C958" s="22">
        <v>1</v>
      </c>
      <c r="D958" s="61" t="s">
        <v>601</v>
      </c>
      <c r="E958" s="23"/>
      <c r="H958" s="29"/>
    </row>
    <row r="959" spans="1:8" x14ac:dyDescent="0.25">
      <c r="A959" s="276"/>
      <c r="B959" s="285"/>
      <c r="C959" s="22">
        <v>0</v>
      </c>
      <c r="D959" s="61" t="s">
        <v>602</v>
      </c>
      <c r="E959" s="24"/>
      <c r="H959" s="29"/>
    </row>
    <row r="960" spans="1:8" ht="15" customHeight="1" x14ac:dyDescent="0.25">
      <c r="A960" s="277"/>
      <c r="B960" s="286"/>
      <c r="C960" s="289" t="s">
        <v>33</v>
      </c>
      <c r="D960" s="290"/>
      <c r="E960" s="25">
        <f>IF(F954="Salah isi",0,E954)</f>
        <v>0</v>
      </c>
      <c r="H960" s="29"/>
    </row>
    <row r="961" spans="1:8" ht="15" customHeight="1" x14ac:dyDescent="0.25">
      <c r="H961" s="217"/>
    </row>
    <row r="962" spans="1:8" ht="50.25" customHeight="1" x14ac:dyDescent="0.25">
      <c r="A962" s="275">
        <v>69</v>
      </c>
      <c r="B962" s="284" t="s">
        <v>603</v>
      </c>
      <c r="C962" s="287" t="s">
        <v>604</v>
      </c>
      <c r="D962" s="288"/>
      <c r="E962" s="21">
        <v>0</v>
      </c>
      <c r="F962" s="8" t="str">
        <f>IF(OR(ISBLANK(E962),E962&gt;4),"Salah isi","judge")</f>
        <v>judge</v>
      </c>
      <c r="H962" s="263"/>
    </row>
    <row r="963" spans="1:8" ht="101.45" customHeight="1" x14ac:dyDescent="0.25">
      <c r="A963" s="276"/>
      <c r="B963" s="285"/>
      <c r="C963" s="22">
        <v>4</v>
      </c>
      <c r="D963" s="61" t="s">
        <v>605</v>
      </c>
      <c r="E963" s="23"/>
      <c r="H963" s="218"/>
    </row>
    <row r="964" spans="1:8" ht="87" customHeight="1" x14ac:dyDescent="0.25">
      <c r="A964" s="276"/>
      <c r="B964" s="285"/>
      <c r="C964" s="22">
        <v>3</v>
      </c>
      <c r="D964" s="61" t="s">
        <v>606</v>
      </c>
      <c r="E964" s="23"/>
      <c r="H964" s="218"/>
    </row>
    <row r="965" spans="1:8" ht="72.599999999999994" customHeight="1" x14ac:dyDescent="0.25">
      <c r="A965" s="276"/>
      <c r="B965" s="285"/>
      <c r="C965" s="22">
        <v>2</v>
      </c>
      <c r="D965" s="61" t="s">
        <v>607</v>
      </c>
      <c r="E965" s="23"/>
      <c r="H965" s="218"/>
    </row>
    <row r="966" spans="1:8" ht="29.1" customHeight="1" x14ac:dyDescent="0.25">
      <c r="A966" s="276"/>
      <c r="B966" s="285"/>
      <c r="C966" s="22">
        <v>1</v>
      </c>
      <c r="D966" s="61" t="s">
        <v>608</v>
      </c>
      <c r="E966" s="23"/>
      <c r="H966" s="218"/>
    </row>
    <row r="967" spans="1:8" ht="29.1" customHeight="1" x14ac:dyDescent="0.25">
      <c r="A967" s="276"/>
      <c r="B967" s="285"/>
      <c r="C967" s="22">
        <v>0</v>
      </c>
      <c r="D967" s="61" t="s">
        <v>609</v>
      </c>
      <c r="E967" s="24"/>
      <c r="H967" s="218"/>
    </row>
    <row r="968" spans="1:8" ht="15" customHeight="1" x14ac:dyDescent="0.25">
      <c r="A968" s="277"/>
      <c r="B968" s="286"/>
      <c r="C968" s="289" t="s">
        <v>33</v>
      </c>
      <c r="D968" s="290"/>
      <c r="E968" s="25">
        <f>IF(F962="Salah isi",0,E962)</f>
        <v>0</v>
      </c>
      <c r="H968" s="218"/>
    </row>
  </sheetData>
  <sheetProtection formatCells="0" formatColumns="0" formatRows="0" insertColumns="0" insertRows="0" insertHyperlinks="0" deleteColumns="0" deleteRows="0" sort="0" autoFilter="0" pivotTables="0"/>
  <mergeCells count="571">
    <mergeCell ref="C721:D721"/>
    <mergeCell ref="C725:D725"/>
    <mergeCell ref="C641:D641"/>
    <mergeCell ref="C642:D642"/>
    <mergeCell ref="C643:D643"/>
    <mergeCell ref="C644:D644"/>
    <mergeCell ref="C646:D646"/>
    <mergeCell ref="C674:D674"/>
    <mergeCell ref="C675:D675"/>
    <mergeCell ref="C684:D684"/>
    <mergeCell ref="C689:D689"/>
    <mergeCell ref="C690:D690"/>
    <mergeCell ref="C691:D691"/>
    <mergeCell ref="C692:D692"/>
    <mergeCell ref="C716:D716"/>
    <mergeCell ref="C722:D722"/>
    <mergeCell ref="C723:D723"/>
    <mergeCell ref="C724:D724"/>
    <mergeCell ref="C702:D702"/>
    <mergeCell ref="C669:D669"/>
    <mergeCell ref="C654:D654"/>
    <mergeCell ref="C673:D673"/>
    <mergeCell ref="A929:A936"/>
    <mergeCell ref="B929:B936"/>
    <mergeCell ref="C929:D929"/>
    <mergeCell ref="C930:D930"/>
    <mergeCell ref="C931:D931"/>
    <mergeCell ref="C932:D932"/>
    <mergeCell ref="C933:D933"/>
    <mergeCell ref="C934:D934"/>
    <mergeCell ref="C936:D936"/>
    <mergeCell ref="A924:A927"/>
    <mergeCell ref="B924:B927"/>
    <mergeCell ref="A845:A892"/>
    <mergeCell ref="C905:D905"/>
    <mergeCell ref="C906:D906"/>
    <mergeCell ref="C907:D907"/>
    <mergeCell ref="C917:D917"/>
    <mergeCell ref="A919:A922"/>
    <mergeCell ref="B919:B922"/>
    <mergeCell ref="C919:D919"/>
    <mergeCell ref="C920:D920"/>
    <mergeCell ref="C922:D922"/>
    <mergeCell ref="C896:D896"/>
    <mergeCell ref="C897:D897"/>
    <mergeCell ref="C898:D898"/>
    <mergeCell ref="C899:D899"/>
    <mergeCell ref="C851:D851"/>
    <mergeCell ref="B845:B892"/>
    <mergeCell ref="C845:D845"/>
    <mergeCell ref="C846:D846"/>
    <mergeCell ref="C847:D847"/>
    <mergeCell ref="C848:D848"/>
    <mergeCell ref="C849:D849"/>
    <mergeCell ref="C850:D850"/>
    <mergeCell ref="C927:D927"/>
    <mergeCell ref="C853:D853"/>
    <mergeCell ref="C855:D855"/>
    <mergeCell ref="C856:C860"/>
    <mergeCell ref="C861:C865"/>
    <mergeCell ref="C866:C870"/>
    <mergeCell ref="C807:D807"/>
    <mergeCell ref="C808:D808"/>
    <mergeCell ref="C886:C890"/>
    <mergeCell ref="C891:D891"/>
    <mergeCell ref="C892:D892"/>
    <mergeCell ref="C903:D903"/>
    <mergeCell ref="C904:D904"/>
    <mergeCell ref="C900:D900"/>
    <mergeCell ref="C901:D901"/>
    <mergeCell ref="C751:D751"/>
    <mergeCell ref="C753:D753"/>
    <mergeCell ref="C754:D754"/>
    <mergeCell ref="C755:D755"/>
    <mergeCell ref="C871:C875"/>
    <mergeCell ref="C876:C880"/>
    <mergeCell ref="C881:C885"/>
    <mergeCell ref="C780:D780"/>
    <mergeCell ref="C819:D819"/>
    <mergeCell ref="C821:D821"/>
    <mergeCell ref="C822:C824"/>
    <mergeCell ref="C809:D809"/>
    <mergeCell ref="C816:D816"/>
    <mergeCell ref="C842:D842"/>
    <mergeCell ref="C843:D843"/>
    <mergeCell ref="C833:D833"/>
    <mergeCell ref="A668:A684"/>
    <mergeCell ref="A753:A781"/>
    <mergeCell ref="B753:B781"/>
    <mergeCell ref="C791:D791"/>
    <mergeCell ref="C793:D793"/>
    <mergeCell ref="C794:C796"/>
    <mergeCell ref="C783:D783"/>
    <mergeCell ref="C784:D784"/>
    <mergeCell ref="C785:D785"/>
    <mergeCell ref="C733:D733"/>
    <mergeCell ref="C734:D734"/>
    <mergeCell ref="C735:D735"/>
    <mergeCell ref="C736:D736"/>
    <mergeCell ref="C739:D739"/>
    <mergeCell ref="C743:D743"/>
    <mergeCell ref="C710:D710"/>
    <mergeCell ref="C745:D745"/>
    <mergeCell ref="C786:D786"/>
    <mergeCell ref="C787:D787"/>
    <mergeCell ref="C788:D788"/>
    <mergeCell ref="C789:D789"/>
    <mergeCell ref="A783:A809"/>
    <mergeCell ref="C693:D693"/>
    <mergeCell ref="C800:C802"/>
    <mergeCell ref="C622:D622"/>
    <mergeCell ref="C461:D461"/>
    <mergeCell ref="D493:D494"/>
    <mergeCell ref="E493:E494"/>
    <mergeCell ref="A704:A716"/>
    <mergeCell ref="B704:B716"/>
    <mergeCell ref="C704:D704"/>
    <mergeCell ref="C705:D705"/>
    <mergeCell ref="C706:D706"/>
    <mergeCell ref="C707:D707"/>
    <mergeCell ref="A686:A702"/>
    <mergeCell ref="B686:B702"/>
    <mergeCell ref="C686:D686"/>
    <mergeCell ref="C687:D687"/>
    <mergeCell ref="C688:D688"/>
    <mergeCell ref="A619:A624"/>
    <mergeCell ref="B619:B624"/>
    <mergeCell ref="C619:D619"/>
    <mergeCell ref="C510:D510"/>
    <mergeCell ref="C511:D511"/>
    <mergeCell ref="C512:D512"/>
    <mergeCell ref="C514:D514"/>
    <mergeCell ref="B668:B684"/>
    <mergeCell ref="C593:C597"/>
    <mergeCell ref="C661:D661"/>
    <mergeCell ref="C662:D662"/>
    <mergeCell ref="C666:D666"/>
    <mergeCell ref="C624:D624"/>
    <mergeCell ref="C626:D626"/>
    <mergeCell ref="C627:D627"/>
    <mergeCell ref="C628:D628"/>
    <mergeCell ref="C629:D629"/>
    <mergeCell ref="C633:D633"/>
    <mergeCell ref="C564:D564"/>
    <mergeCell ref="C570:D570"/>
    <mergeCell ref="C588:C592"/>
    <mergeCell ref="C562:D562"/>
    <mergeCell ref="A556:A562"/>
    <mergeCell ref="B556:B562"/>
    <mergeCell ref="A564:A570"/>
    <mergeCell ref="B564:B570"/>
    <mergeCell ref="C609:D609"/>
    <mergeCell ref="C608:D608"/>
    <mergeCell ref="A572:A609"/>
    <mergeCell ref="B572:B609"/>
    <mergeCell ref="B745:B751"/>
    <mergeCell ref="C797:C799"/>
    <mergeCell ref="B733:B743"/>
    <mergeCell ref="B783:B809"/>
    <mergeCell ref="C770:C772"/>
    <mergeCell ref="C601:D601"/>
    <mergeCell ref="C602:D602"/>
    <mergeCell ref="A656:A666"/>
    <mergeCell ref="B656:B666"/>
    <mergeCell ref="C656:D656"/>
    <mergeCell ref="C657:D657"/>
    <mergeCell ref="C658:D658"/>
    <mergeCell ref="A626:A631"/>
    <mergeCell ref="A641:A646"/>
    <mergeCell ref="B641:B646"/>
    <mergeCell ref="C620:D620"/>
    <mergeCell ref="C621:D621"/>
    <mergeCell ref="C639:D639"/>
    <mergeCell ref="A648:A654"/>
    <mergeCell ref="B648:B654"/>
    <mergeCell ref="C648:D648"/>
    <mergeCell ref="C631:D631"/>
    <mergeCell ref="C659:D659"/>
    <mergeCell ref="C660:D660"/>
    <mergeCell ref="A718:A731"/>
    <mergeCell ref="A811:A843"/>
    <mergeCell ref="B811:B843"/>
    <mergeCell ref="C811:D811"/>
    <mergeCell ref="C812:D812"/>
    <mergeCell ref="C813:D813"/>
    <mergeCell ref="C814:D814"/>
    <mergeCell ref="C815:D815"/>
    <mergeCell ref="C825:C827"/>
    <mergeCell ref="C828:C830"/>
    <mergeCell ref="C831:D831"/>
    <mergeCell ref="C817:D817"/>
    <mergeCell ref="C758:D758"/>
    <mergeCell ref="C759:D759"/>
    <mergeCell ref="C761:D761"/>
    <mergeCell ref="C763:D763"/>
    <mergeCell ref="C764:C766"/>
    <mergeCell ref="C767:C769"/>
    <mergeCell ref="B718:B731"/>
    <mergeCell ref="A733:A743"/>
    <mergeCell ref="C726:D726"/>
    <mergeCell ref="C727:D727"/>
    <mergeCell ref="C731:D731"/>
    <mergeCell ref="A745:A751"/>
    <mergeCell ref="E499:E500"/>
    <mergeCell ref="A509:A514"/>
    <mergeCell ref="B509:B514"/>
    <mergeCell ref="C509:D509"/>
    <mergeCell ref="A524:A554"/>
    <mergeCell ref="B524:B554"/>
    <mergeCell ref="C524:D524"/>
    <mergeCell ref="C530:D530"/>
    <mergeCell ref="C536:D536"/>
    <mergeCell ref="C542:D542"/>
    <mergeCell ref="C548:D548"/>
    <mergeCell ref="C554:D554"/>
    <mergeCell ref="A516:A522"/>
    <mergeCell ref="B516:B522"/>
    <mergeCell ref="C516:D516"/>
    <mergeCell ref="C522:D522"/>
    <mergeCell ref="A611:A617"/>
    <mergeCell ref="B611:B617"/>
    <mergeCell ref="C611:D611"/>
    <mergeCell ref="C617:D617"/>
    <mergeCell ref="C598:D598"/>
    <mergeCell ref="C300:D300"/>
    <mergeCell ref="C301:D301"/>
    <mergeCell ref="C302:D302"/>
    <mergeCell ref="C303:D303"/>
    <mergeCell ref="C304:D304"/>
    <mergeCell ref="C305:D305"/>
    <mergeCell ref="C306:D306"/>
    <mergeCell ref="C315:D315"/>
    <mergeCell ref="C390:D390"/>
    <mergeCell ref="C358:D358"/>
    <mergeCell ref="C359:D359"/>
    <mergeCell ref="C324:D324"/>
    <mergeCell ref="C317:D317"/>
    <mergeCell ref="C318:D318"/>
    <mergeCell ref="C319:D319"/>
    <mergeCell ref="C320:D320"/>
    <mergeCell ref="C321:D321"/>
    <mergeCell ref="C322:D322"/>
    <mergeCell ref="C323:D323"/>
    <mergeCell ref="C340:D340"/>
    <mergeCell ref="C391:D391"/>
    <mergeCell ref="C392:D392"/>
    <mergeCell ref="C394:D394"/>
    <mergeCell ref="C572:D572"/>
    <mergeCell ref="C573:C577"/>
    <mergeCell ref="C578:C582"/>
    <mergeCell ref="C583:C587"/>
    <mergeCell ref="C832:D832"/>
    <mergeCell ref="C668:D668"/>
    <mergeCell ref="C779:D779"/>
    <mergeCell ref="C718:D718"/>
    <mergeCell ref="C719:D719"/>
    <mergeCell ref="C781:D781"/>
    <mergeCell ref="C720:D720"/>
    <mergeCell ref="C419:D419"/>
    <mergeCell ref="C425:D425"/>
    <mergeCell ref="C556:D556"/>
    <mergeCell ref="C507:D507"/>
    <mergeCell ref="C756:D756"/>
    <mergeCell ref="C757:D757"/>
    <mergeCell ref="C670:D670"/>
    <mergeCell ref="C671:D671"/>
    <mergeCell ref="C672:D672"/>
    <mergeCell ref="A349:A354"/>
    <mergeCell ref="B349:B354"/>
    <mergeCell ref="C349:D349"/>
    <mergeCell ref="C350:D350"/>
    <mergeCell ref="C351:D351"/>
    <mergeCell ref="C352:D352"/>
    <mergeCell ref="C354:D354"/>
    <mergeCell ref="A356:A364"/>
    <mergeCell ref="C325:D325"/>
    <mergeCell ref="C326:D326"/>
    <mergeCell ref="C327:D327"/>
    <mergeCell ref="C328:D328"/>
    <mergeCell ref="A342:A347"/>
    <mergeCell ref="B342:B347"/>
    <mergeCell ref="C342:D342"/>
    <mergeCell ref="C343:D343"/>
    <mergeCell ref="C344:D344"/>
    <mergeCell ref="C345:D345"/>
    <mergeCell ref="C347:D347"/>
    <mergeCell ref="C329:D329"/>
    <mergeCell ref="C330:D330"/>
    <mergeCell ref="C331:D331"/>
    <mergeCell ref="A317:A340"/>
    <mergeCell ref="B317:B340"/>
    <mergeCell ref="A389:A394"/>
    <mergeCell ref="B389:B394"/>
    <mergeCell ref="C389:D389"/>
    <mergeCell ref="A410:A417"/>
    <mergeCell ref="B410:B417"/>
    <mergeCell ref="C410:D410"/>
    <mergeCell ref="C411:D411"/>
    <mergeCell ref="C417:D417"/>
    <mergeCell ref="B403:B408"/>
    <mergeCell ref="C403:D403"/>
    <mergeCell ref="C404:D404"/>
    <mergeCell ref="C405:D405"/>
    <mergeCell ref="C406:D406"/>
    <mergeCell ref="C408:D408"/>
    <mergeCell ref="A375:A387"/>
    <mergeCell ref="B375:B387"/>
    <mergeCell ref="C375:D375"/>
    <mergeCell ref="C381:D381"/>
    <mergeCell ref="C387:D387"/>
    <mergeCell ref="B356:B364"/>
    <mergeCell ref="C356:D356"/>
    <mergeCell ref="C357:D357"/>
    <mergeCell ref="C360:D360"/>
    <mergeCell ref="C361:D361"/>
    <mergeCell ref="C362:D362"/>
    <mergeCell ref="C364:D364"/>
    <mergeCell ref="A366:A373"/>
    <mergeCell ref="B366:B373"/>
    <mergeCell ref="C366:D366"/>
    <mergeCell ref="C367:D367"/>
    <mergeCell ref="C373:D373"/>
    <mergeCell ref="A1:F1"/>
    <mergeCell ref="A2:F2"/>
    <mergeCell ref="C6:D6"/>
    <mergeCell ref="A7:A13"/>
    <mergeCell ref="B7:B13"/>
    <mergeCell ref="C7:D7"/>
    <mergeCell ref="C13:D13"/>
    <mergeCell ref="E65:E66"/>
    <mergeCell ref="C67:D67"/>
    <mergeCell ref="A31:A37"/>
    <mergeCell ref="B31:B37"/>
    <mergeCell ref="C31:D31"/>
    <mergeCell ref="C37:D37"/>
    <mergeCell ref="A39:A45"/>
    <mergeCell ref="B39:B45"/>
    <mergeCell ref="C39:D39"/>
    <mergeCell ref="A23:A29"/>
    <mergeCell ref="B23:B29"/>
    <mergeCell ref="C23:D23"/>
    <mergeCell ref="C29:D29"/>
    <mergeCell ref="A61:A73"/>
    <mergeCell ref="B61:B73"/>
    <mergeCell ref="C61:D61"/>
    <mergeCell ref="D65:D66"/>
    <mergeCell ref="A15:A21"/>
    <mergeCell ref="B15:B21"/>
    <mergeCell ref="C15:D15"/>
    <mergeCell ref="C21:D21"/>
    <mergeCell ref="C175:D175"/>
    <mergeCell ref="A126:A132"/>
    <mergeCell ref="B126:B132"/>
    <mergeCell ref="C45:D45"/>
    <mergeCell ref="A47:A59"/>
    <mergeCell ref="B47:B59"/>
    <mergeCell ref="C47:D47"/>
    <mergeCell ref="C53:D53"/>
    <mergeCell ref="C59:D59"/>
    <mergeCell ref="A110:A116"/>
    <mergeCell ref="B110:B116"/>
    <mergeCell ref="C110:D110"/>
    <mergeCell ref="C73:D73"/>
    <mergeCell ref="D114:D115"/>
    <mergeCell ref="C116:D116"/>
    <mergeCell ref="A118:A124"/>
    <mergeCell ref="B118:B124"/>
    <mergeCell ref="C118:D118"/>
    <mergeCell ref="C124:D124"/>
    <mergeCell ref="A83:A108"/>
    <mergeCell ref="C126:D126"/>
    <mergeCell ref="C132:D132"/>
    <mergeCell ref="C94:D94"/>
    <mergeCell ref="C95:D95"/>
    <mergeCell ref="C96:D96"/>
    <mergeCell ref="C97:D97"/>
    <mergeCell ref="C107:D107"/>
    <mergeCell ref="C108:D108"/>
    <mergeCell ref="C106:D106"/>
    <mergeCell ref="A75:A81"/>
    <mergeCell ref="B75:B81"/>
    <mergeCell ref="C75:D75"/>
    <mergeCell ref="C81:D81"/>
    <mergeCell ref="B83:B108"/>
    <mergeCell ref="C83:D83"/>
    <mergeCell ref="C84:D84"/>
    <mergeCell ref="C85:D85"/>
    <mergeCell ref="C86:D86"/>
    <mergeCell ref="C87:D87"/>
    <mergeCell ref="C88:D88"/>
    <mergeCell ref="C93:D93"/>
    <mergeCell ref="A204:A209"/>
    <mergeCell ref="B204:B209"/>
    <mergeCell ref="C204:D204"/>
    <mergeCell ref="C205:D205"/>
    <mergeCell ref="C206:D206"/>
    <mergeCell ref="C207:D207"/>
    <mergeCell ref="C209:D209"/>
    <mergeCell ref="A134:A140"/>
    <mergeCell ref="B134:B140"/>
    <mergeCell ref="C134:D134"/>
    <mergeCell ref="C140:D140"/>
    <mergeCell ref="A197:A202"/>
    <mergeCell ref="B197:B202"/>
    <mergeCell ref="C197:D197"/>
    <mergeCell ref="C198:D198"/>
    <mergeCell ref="C199:D199"/>
    <mergeCell ref="C200:D200"/>
    <mergeCell ref="C202:D202"/>
    <mergeCell ref="A142:A160"/>
    <mergeCell ref="B142:B160"/>
    <mergeCell ref="C142:D142"/>
    <mergeCell ref="C148:D148"/>
    <mergeCell ref="C149:D149"/>
    <mergeCell ref="C150:D150"/>
    <mergeCell ref="C151:D151"/>
    <mergeCell ref="C153:D153"/>
    <mergeCell ref="A191:A195"/>
    <mergeCell ref="B191:B195"/>
    <mergeCell ref="C191:D191"/>
    <mergeCell ref="C192:D192"/>
    <mergeCell ref="C195:D195"/>
    <mergeCell ref="A177:A189"/>
    <mergeCell ref="B177:B189"/>
    <mergeCell ref="C177:D177"/>
    <mergeCell ref="C183:D183"/>
    <mergeCell ref="A162:A175"/>
    <mergeCell ref="B162:B175"/>
    <mergeCell ref="C162:D162"/>
    <mergeCell ref="C168:D168"/>
    <mergeCell ref="C169:D169"/>
    <mergeCell ref="C170:D170"/>
    <mergeCell ref="C171:D171"/>
    <mergeCell ref="C172:D172"/>
    <mergeCell ref="C174:D174"/>
    <mergeCell ref="C154:D154"/>
    <mergeCell ref="C160:D160"/>
    <mergeCell ref="C189:D189"/>
    <mergeCell ref="A211:A218"/>
    <mergeCell ref="B211:B218"/>
    <mergeCell ref="C211:D211"/>
    <mergeCell ref="C212:D212"/>
    <mergeCell ref="C213:D213"/>
    <mergeCell ref="C214:D214"/>
    <mergeCell ref="C215:D215"/>
    <mergeCell ref="C216:D216"/>
    <mergeCell ref="C218:D218"/>
    <mergeCell ref="A220:A239"/>
    <mergeCell ref="B220:B239"/>
    <mergeCell ref="C220:D220"/>
    <mergeCell ref="C226:D226"/>
    <mergeCell ref="C227:D227"/>
    <mergeCell ref="C228:D228"/>
    <mergeCell ref="C229:D229"/>
    <mergeCell ref="C233:D233"/>
    <mergeCell ref="C239:D239"/>
    <mergeCell ref="C237:D237"/>
    <mergeCell ref="C238:E238"/>
    <mergeCell ref="A249:A257"/>
    <mergeCell ref="B249:B257"/>
    <mergeCell ref="C249:D249"/>
    <mergeCell ref="C250:D250"/>
    <mergeCell ref="C251:D251"/>
    <mergeCell ref="C252:D252"/>
    <mergeCell ref="C257:D257"/>
    <mergeCell ref="A241:A247"/>
    <mergeCell ref="B241:B247"/>
    <mergeCell ref="C241:D241"/>
    <mergeCell ref="C242:D242"/>
    <mergeCell ref="C243:D243"/>
    <mergeCell ref="C244:D244"/>
    <mergeCell ref="C247:D247"/>
    <mergeCell ref="A259:A265"/>
    <mergeCell ref="B259:B265"/>
    <mergeCell ref="C259:D259"/>
    <mergeCell ref="C260:D260"/>
    <mergeCell ref="C261:D261"/>
    <mergeCell ref="C262:D262"/>
    <mergeCell ref="C265:D265"/>
    <mergeCell ref="A267:A272"/>
    <mergeCell ref="B267:B272"/>
    <mergeCell ref="C267:D267"/>
    <mergeCell ref="C268:D268"/>
    <mergeCell ref="C269:D269"/>
    <mergeCell ref="C270:D270"/>
    <mergeCell ref="C272:D272"/>
    <mergeCell ref="A274:A279"/>
    <mergeCell ref="B274:B279"/>
    <mergeCell ref="C274:D274"/>
    <mergeCell ref="C275:D275"/>
    <mergeCell ref="C276:D276"/>
    <mergeCell ref="C277:D277"/>
    <mergeCell ref="C279:D279"/>
    <mergeCell ref="A281:A297"/>
    <mergeCell ref="B281:B297"/>
    <mergeCell ref="C281:D281"/>
    <mergeCell ref="C282:D282"/>
    <mergeCell ref="C283:D283"/>
    <mergeCell ref="C284:D284"/>
    <mergeCell ref="C285:D285"/>
    <mergeCell ref="C288:D288"/>
    <mergeCell ref="C297:D297"/>
    <mergeCell ref="C286:D286"/>
    <mergeCell ref="C287:D287"/>
    <mergeCell ref="A299:A315"/>
    <mergeCell ref="B299:B315"/>
    <mergeCell ref="C299:D299"/>
    <mergeCell ref="A633:A639"/>
    <mergeCell ref="B633:B639"/>
    <mergeCell ref="B396:B401"/>
    <mergeCell ref="C396:D396"/>
    <mergeCell ref="C397:D397"/>
    <mergeCell ref="C398:D398"/>
    <mergeCell ref="C399:D399"/>
    <mergeCell ref="C401:D401"/>
    <mergeCell ref="A477:A507"/>
    <mergeCell ref="B477:B507"/>
    <mergeCell ref="C477:D477"/>
    <mergeCell ref="C483:D483"/>
    <mergeCell ref="C489:D489"/>
    <mergeCell ref="C495:D495"/>
    <mergeCell ref="D499:D500"/>
    <mergeCell ref="C501:D501"/>
    <mergeCell ref="A403:A408"/>
    <mergeCell ref="B626:B631"/>
    <mergeCell ref="A396:A401"/>
    <mergeCell ref="A427:A433"/>
    <mergeCell ref="B427:B433"/>
    <mergeCell ref="A419:A425"/>
    <mergeCell ref="B419:B425"/>
    <mergeCell ref="C557:D557"/>
    <mergeCell ref="C427:D427"/>
    <mergeCell ref="C433:D433"/>
    <mergeCell ref="A435:A453"/>
    <mergeCell ref="B435:B453"/>
    <mergeCell ref="C435:D435"/>
    <mergeCell ref="C441:D441"/>
    <mergeCell ref="C447:D447"/>
    <mergeCell ref="C453:D453"/>
    <mergeCell ref="A455:A461"/>
    <mergeCell ref="B455:B461"/>
    <mergeCell ref="C455:D455"/>
    <mergeCell ref="A463:A475"/>
    <mergeCell ref="B463:B475"/>
    <mergeCell ref="C463:D463"/>
    <mergeCell ref="C469:D469"/>
    <mergeCell ref="C475:D475"/>
    <mergeCell ref="A894:A917"/>
    <mergeCell ref="B894:B917"/>
    <mergeCell ref="C894:D894"/>
    <mergeCell ref="C908:D908"/>
    <mergeCell ref="C895:D895"/>
    <mergeCell ref="A962:A968"/>
    <mergeCell ref="B962:B968"/>
    <mergeCell ref="C962:D962"/>
    <mergeCell ref="C968:D968"/>
    <mergeCell ref="A938:A944"/>
    <mergeCell ref="B938:B944"/>
    <mergeCell ref="C938:D938"/>
    <mergeCell ref="C944:D944"/>
    <mergeCell ref="A946:A952"/>
    <mergeCell ref="B946:B952"/>
    <mergeCell ref="C946:D946"/>
    <mergeCell ref="C952:D952"/>
    <mergeCell ref="A954:A960"/>
    <mergeCell ref="B954:B960"/>
    <mergeCell ref="C954:D954"/>
    <mergeCell ref="C960:D960"/>
    <mergeCell ref="C902:D902"/>
    <mergeCell ref="C924:D924"/>
    <mergeCell ref="C925:D925"/>
  </mergeCells>
  <conditionalFormatting sqref="F126">
    <cfRule type="containsText" dxfId="90" priority="1" operator="containsText" text="Salah isi">
      <formula>NOT(ISERROR(SEARCH("Salah isi",F126)))</formula>
    </cfRule>
  </conditionalFormatting>
  <conditionalFormatting sqref="F572">
    <cfRule type="containsText" dxfId="89" priority="2" operator="containsText" text="Salah isi">
      <formula>NOT(ISERROR(SEARCH("Salah isi",F572)))</formula>
    </cfRule>
  </conditionalFormatting>
  <conditionalFormatting sqref="G101">
    <cfRule type="cellIs" dxfId="88" priority="3" operator="equal">
      <formula>"Tidak dinilai"</formula>
    </cfRule>
  </conditionalFormatting>
  <conditionalFormatting sqref="F134">
    <cfRule type="containsText" dxfId="87" priority="4" operator="containsText" text="Salah isi">
      <formula>NOT(ISERROR(SEARCH("Salah isi",F134)))</formula>
    </cfRule>
  </conditionalFormatting>
  <conditionalFormatting sqref="F118">
    <cfRule type="containsText" dxfId="86" priority="5" operator="containsText" text="Salah isi">
      <formula>NOT(ISERROR(SEARCH("Salah isi",F118)))</formula>
    </cfRule>
  </conditionalFormatting>
  <conditionalFormatting sqref="F47">
    <cfRule type="containsText" dxfId="85" priority="6" operator="containsText" text="Salah isi">
      <formula>NOT(ISERROR(SEARCH("Salah isi",F47)))</formula>
    </cfRule>
  </conditionalFormatting>
  <conditionalFormatting sqref="F39">
    <cfRule type="containsText" dxfId="84" priority="7" operator="containsText" text="Salah isi">
      <formula>NOT(ISERROR(SEARCH("Salah isi",F39)))</formula>
    </cfRule>
  </conditionalFormatting>
  <conditionalFormatting sqref="F31">
    <cfRule type="containsText" dxfId="83" priority="8" operator="containsText" text="Salah isi">
      <formula>NOT(ISERROR(SEARCH("Salah isi",F31)))</formula>
    </cfRule>
  </conditionalFormatting>
  <conditionalFormatting sqref="F23">
    <cfRule type="containsText" dxfId="82" priority="9" operator="containsText" text="Salah isi">
      <formula>NOT(ISERROR(SEARCH("Salah isi",F23)))</formula>
    </cfRule>
  </conditionalFormatting>
  <conditionalFormatting sqref="F7">
    <cfRule type="containsText" dxfId="81" priority="10" operator="containsText" text="Salah isi">
      <formula>NOT(ISERROR(SEARCH("Salah isi",F7)))</formula>
    </cfRule>
  </conditionalFormatting>
  <conditionalFormatting sqref="F15">
    <cfRule type="containsText" dxfId="80" priority="11" operator="containsText" text="Salah isi">
      <formula>NOT(ISERROR(SEARCH("Salah isi",F15)))</formula>
    </cfRule>
  </conditionalFormatting>
  <conditionalFormatting sqref="F53">
    <cfRule type="containsText" dxfId="79" priority="12" operator="containsText" text="Salah isi">
      <formula>NOT(ISERROR(SEARCH("Salah isi",F53)))</formula>
    </cfRule>
  </conditionalFormatting>
  <conditionalFormatting sqref="F61">
    <cfRule type="containsText" dxfId="78" priority="13" operator="containsText" text="Salah isi">
      <formula>NOT(ISERROR(SEARCH("Salah isi",F61)))</formula>
    </cfRule>
  </conditionalFormatting>
  <conditionalFormatting sqref="F67">
    <cfRule type="containsText" dxfId="77" priority="14" operator="containsText" text="Salah isi">
      <formula>NOT(ISERROR(SEARCH("Salah isi",F67)))</formula>
    </cfRule>
  </conditionalFormatting>
  <conditionalFormatting sqref="F75">
    <cfRule type="containsText" dxfId="76" priority="15" operator="containsText" text="Salah isi">
      <formula>NOT(ISERROR(SEARCH("Salah isi",F75)))</formula>
    </cfRule>
  </conditionalFormatting>
  <conditionalFormatting sqref="F110">
    <cfRule type="containsText" dxfId="75" priority="16" operator="containsText" text="Salah isi">
      <formula>NOT(ISERROR(SEARCH("Salah isi",F110)))</formula>
    </cfRule>
  </conditionalFormatting>
  <conditionalFormatting sqref="F463">
    <cfRule type="containsText" dxfId="74" priority="17" operator="containsText" text="Salah isi">
      <formula>NOT(ISERROR(SEARCH("Salah isi",F463)))</formula>
    </cfRule>
  </conditionalFormatting>
  <conditionalFormatting sqref="F611">
    <cfRule type="containsText" dxfId="73" priority="18" operator="containsText" text="Salah isi">
      <formula>NOT(ISERROR(SEARCH("Salah isi",F611)))</formula>
    </cfRule>
  </conditionalFormatting>
  <conditionalFormatting sqref="F183">
    <cfRule type="containsText" dxfId="72" priority="19" operator="containsText" text="Salah isi">
      <formula>NOT(ISERROR(SEARCH("Salah isi",F183)))</formula>
    </cfRule>
  </conditionalFormatting>
  <conditionalFormatting sqref="F177">
    <cfRule type="containsText" dxfId="71" priority="20" operator="containsText" text="Salah isi">
      <formula>NOT(ISERROR(SEARCH("Salah isi",F177)))</formula>
    </cfRule>
  </conditionalFormatting>
  <conditionalFormatting sqref="F366:F367">
    <cfRule type="containsText" dxfId="70" priority="21" operator="containsText" text="Salah isi">
      <formula>NOT(ISERROR(SEARCH("Salah isi",F366:F367)))</formula>
    </cfRule>
  </conditionalFormatting>
  <conditionalFormatting sqref="F381">
    <cfRule type="containsText" dxfId="69" priority="22" operator="containsText" text="Salah isi">
      <formula>NOT(ISERROR(SEARCH("Salah isi",F381)))</formula>
    </cfRule>
  </conditionalFormatting>
  <conditionalFormatting sqref="F375">
    <cfRule type="containsText" dxfId="68" priority="23" operator="containsText" text="Salah isi">
      <formula>NOT(ISERROR(SEARCH("Salah isi",F375)))</formula>
    </cfRule>
  </conditionalFormatting>
  <conditionalFormatting sqref="F410:F411">
    <cfRule type="containsText" dxfId="67" priority="24" operator="containsText" text="Salah isi">
      <formula>NOT(ISERROR(SEARCH("Salah isi",F410:F411)))</formula>
    </cfRule>
  </conditionalFormatting>
  <conditionalFormatting sqref="F419">
    <cfRule type="containsText" dxfId="66" priority="25" operator="containsText" text="Salah isi">
      <formula>NOT(ISERROR(SEARCH("Salah isi",F419)))</formula>
    </cfRule>
  </conditionalFormatting>
  <conditionalFormatting sqref="F427">
    <cfRule type="containsText" dxfId="65" priority="26" operator="containsText" text="Salah isi">
      <formula>NOT(ISERROR(SEARCH("Salah isi",F427)))</formula>
    </cfRule>
  </conditionalFormatting>
  <conditionalFormatting sqref="F435">
    <cfRule type="containsText" dxfId="64" priority="27" operator="containsText" text="Salah isi">
      <formula>NOT(ISERROR(SEARCH("Salah isi",F435)))</formula>
    </cfRule>
  </conditionalFormatting>
  <conditionalFormatting sqref="F441">
    <cfRule type="containsText" dxfId="63" priority="28" operator="containsText" text="Salah isi">
      <formula>NOT(ISERROR(SEARCH("Salah isi",F441)))</formula>
    </cfRule>
  </conditionalFormatting>
  <conditionalFormatting sqref="F447">
    <cfRule type="containsText" dxfId="62" priority="29" operator="containsText" text="Salah isi">
      <formula>NOT(ISERROR(SEARCH("Salah isi",F447)))</formula>
    </cfRule>
  </conditionalFormatting>
  <conditionalFormatting sqref="F455">
    <cfRule type="containsText" dxfId="61" priority="30" operator="containsText" text="Salah isi">
      <formula>NOT(ISERROR(SEARCH("Salah isi",F455)))</formula>
    </cfRule>
  </conditionalFormatting>
  <conditionalFormatting sqref="F495">
    <cfRule type="containsText" dxfId="60" priority="31" operator="containsText" text="Salah isi">
      <formula>NOT(ISERROR(SEARCH("Salah isi",F495)))</formula>
    </cfRule>
  </conditionalFormatting>
  <conditionalFormatting sqref="F477">
    <cfRule type="containsText" dxfId="59" priority="32" operator="containsText" text="Salah isi">
      <formula>NOT(ISERROR(SEARCH("Salah isi",F477)))</formula>
    </cfRule>
  </conditionalFormatting>
  <conditionalFormatting sqref="F469">
    <cfRule type="containsText" dxfId="58" priority="33" operator="containsText" text="Salah isi">
      <formula>NOT(ISERROR(SEARCH("Salah isi",F469)))</formula>
    </cfRule>
  </conditionalFormatting>
  <conditionalFormatting sqref="F501">
    <cfRule type="containsText" dxfId="57" priority="34" operator="containsText" text="Salah isi">
      <formula>NOT(ISERROR(SEARCH("Salah isi",F501)))</formula>
    </cfRule>
  </conditionalFormatting>
  <conditionalFormatting sqref="F483">
    <cfRule type="containsText" dxfId="56" priority="35" operator="containsText" text="Salah isi">
      <formula>NOT(ISERROR(SEARCH("Salah isi",F483)))</formula>
    </cfRule>
  </conditionalFormatting>
  <conditionalFormatting sqref="F516">
    <cfRule type="containsText" dxfId="55" priority="36" operator="containsText" text="Salah isi">
      <formula>NOT(ISERROR(SEARCH("Salah isi",F516)))</formula>
    </cfRule>
  </conditionalFormatting>
  <conditionalFormatting sqref="F524">
    <cfRule type="containsText" dxfId="54" priority="37" operator="containsText" text="Salah isi">
      <formula>NOT(ISERROR(SEARCH("Salah isi",F524)))</formula>
    </cfRule>
  </conditionalFormatting>
  <conditionalFormatting sqref="F530">
    <cfRule type="containsText" dxfId="53" priority="38" operator="containsText" text="Salah isi">
      <formula>NOT(ISERROR(SEARCH("Salah isi",F530)))</formula>
    </cfRule>
  </conditionalFormatting>
  <conditionalFormatting sqref="F536">
    <cfRule type="containsText" dxfId="52" priority="39" operator="containsText" text="Salah isi">
      <formula>NOT(ISERROR(SEARCH("Salah isi",F536)))</formula>
    </cfRule>
  </conditionalFormatting>
  <conditionalFormatting sqref="F564">
    <cfRule type="containsText" dxfId="51" priority="40" operator="containsText" text="Salah isi">
      <formula>NOT(ISERROR(SEARCH("Salah isi",F564)))</formula>
    </cfRule>
  </conditionalFormatting>
  <conditionalFormatting sqref="F602">
    <cfRule type="containsText" dxfId="50" priority="41" operator="containsText" text="Salah isi">
      <formula>NOT(ISERROR(SEARCH("Salah isi",F602)))</formula>
    </cfRule>
  </conditionalFormatting>
  <conditionalFormatting sqref="F938">
    <cfRule type="containsText" dxfId="49" priority="42" operator="containsText" text="Salah isi">
      <formula>NOT(ISERROR(SEARCH("Salah isi",F938)))</formula>
    </cfRule>
  </conditionalFormatting>
  <conditionalFormatting sqref="F633">
    <cfRule type="containsText" dxfId="48" priority="43" operator="containsText" text="Salah isi">
      <formula>NOT(ISERROR(SEARCH("Salah isi",F633)))</formula>
    </cfRule>
  </conditionalFormatting>
  <conditionalFormatting sqref="F648">
    <cfRule type="containsText" dxfId="47" priority="44" operator="containsText" text="Salah isi">
      <formula>NOT(ISERROR(SEARCH("Salah isi",F648)))</formula>
    </cfRule>
  </conditionalFormatting>
  <conditionalFormatting sqref="F745">
    <cfRule type="containsText" dxfId="46" priority="45" operator="containsText" text="Salah isi">
      <formula>NOT(ISERROR(SEARCH("Salah isi",F745)))</formula>
    </cfRule>
  </conditionalFormatting>
  <conditionalFormatting sqref="F946">
    <cfRule type="containsText" dxfId="45" priority="46" operator="containsText" text="Salah isi">
      <formula>NOT(ISERROR(SEARCH("Salah isi",F946)))</formula>
    </cfRule>
  </conditionalFormatting>
  <conditionalFormatting sqref="F954">
    <cfRule type="containsText" dxfId="44" priority="47" operator="containsText" text="Salah isi">
      <formula>NOT(ISERROR(SEARCH("Salah isi",F954)))</formula>
    </cfRule>
  </conditionalFormatting>
  <conditionalFormatting sqref="F962">
    <cfRule type="containsText" dxfId="43" priority="48" operator="containsText" text="Salah isi">
      <formula>NOT(ISERROR(SEARCH("Salah isi",F962)))</formula>
    </cfRule>
  </conditionalFormatting>
  <conditionalFormatting sqref="F154:F155">
    <cfRule type="containsText" dxfId="42" priority="49" operator="containsText" text="Salah isi">
      <formula>NOT(ISERROR(SEARCH("Salah isi",F154:F155)))</formula>
    </cfRule>
  </conditionalFormatting>
  <conditionalFormatting sqref="F162">
    <cfRule type="containsText" dxfId="41" priority="50" operator="containsText" text="Salah isi">
      <formula>NOT(ISERROR(SEARCH("Salah isi",F162)))</formula>
    </cfRule>
  </conditionalFormatting>
  <conditionalFormatting sqref="F489">
    <cfRule type="containsText" dxfId="40" priority="51" operator="containsText" text="Salah isi">
      <formula>NOT(ISERROR(SEARCH("Salah isi",F489)))</formula>
    </cfRule>
  </conditionalFormatting>
  <dataValidations count="12">
    <dataValidation type="list" allowBlank="1" showInputMessage="1" showErrorMessage="1" sqref="E924">
      <formula1>#REF!</formula1>
    </dataValidation>
    <dataValidation type="list" allowBlank="1" showInputMessage="1" showErrorMessage="1" sqref="E204">
      <formula1>#REF!</formula1>
    </dataValidation>
    <dataValidation type="list" allowBlank="1" showInputMessage="1" showErrorMessage="1" sqref="E211">
      <formula1>#REF!</formula1>
    </dataValidation>
    <dataValidation type="list" allowBlank="1" showInputMessage="1" showErrorMessage="1" sqref="E929">
      <formula1>#REF!</formula1>
    </dataValidation>
    <dataValidation type="list" allowBlank="1" showInputMessage="1" showErrorMessage="1" sqref="E191">
      <formula1>#REF!</formula1>
    </dataValidation>
    <dataValidation type="list" allowBlank="1" showInputMessage="1" showErrorMessage="1" sqref="E83">
      <formula1>#REF!</formula1>
    </dataValidation>
    <dataValidation type="list" allowBlank="1" showInputMessage="1" showErrorMessage="1" sqref="E249">
      <formula1>#REF!</formula1>
    </dataValidation>
    <dataValidation type="list" allowBlank="1" showInputMessage="1" showErrorMessage="1" sqref="E919">
      <formula1>#REF!</formula1>
    </dataValidation>
    <dataValidation type="list" allowBlank="1" showInputMessage="1" showErrorMessage="1" sqref="E221">
      <formula1>$E$222:$E$224</formula1>
    </dataValidation>
    <dataValidation type="list" allowBlank="1" showInputMessage="1" showErrorMessage="1" sqref="E143">
      <formula1>$E$144:$E$146</formula1>
    </dataValidation>
    <dataValidation allowBlank="1" showInputMessage="1" showErrorMessage="1" sqref="E197"/>
    <dataValidation allowBlank="1" showInputMessage="1" showErrorMessage="1" sqref="E34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tabSelected="1" topLeftCell="B5" workbookViewId="0">
      <selection activeCell="Q11" sqref="Q11"/>
    </sheetView>
  </sheetViews>
  <sheetFormatPr defaultColWidth="8.5703125" defaultRowHeight="15.75" x14ac:dyDescent="0.25"/>
  <cols>
    <col min="1" max="1" width="5.85546875" style="1" hidden="1" customWidth="1"/>
    <col min="2" max="2" width="5.85546875" style="2" customWidth="1"/>
    <col min="3" max="3" width="28" style="3" customWidth="1"/>
    <col min="4" max="4" width="37" style="3" customWidth="1"/>
    <col min="5" max="5" width="8.5703125" style="4"/>
    <col min="6" max="6" width="9" style="1" customWidth="1"/>
    <col min="7" max="8" width="8.85546875" style="1" customWidth="1"/>
    <col min="9" max="11" width="8.5703125" style="3"/>
    <col min="12" max="15" width="8.5703125" style="1"/>
  </cols>
  <sheetData>
    <row r="1" spans="1:14" s="227" customFormat="1" ht="14.45" customHeight="1" x14ac:dyDescent="0.25">
      <c r="B1" s="381" t="s">
        <v>610</v>
      </c>
      <c r="C1" s="381"/>
      <c r="D1" s="381"/>
      <c r="E1" s="381"/>
      <c r="G1" s="381" t="s">
        <v>611</v>
      </c>
      <c r="H1" s="381"/>
      <c r="I1" s="381"/>
      <c r="J1" s="381"/>
      <c r="K1" s="381"/>
      <c r="L1" s="228"/>
    </row>
    <row r="2" spans="1:14" s="227" customFormat="1" ht="14.45" customHeight="1" x14ac:dyDescent="0.25">
      <c r="B2" s="381" t="s">
        <v>1</v>
      </c>
      <c r="C2" s="381"/>
      <c r="D2" s="381"/>
      <c r="E2" s="381"/>
      <c r="G2" s="381" t="s">
        <v>1</v>
      </c>
      <c r="H2" s="381"/>
      <c r="I2" s="381"/>
      <c r="J2" s="381"/>
      <c r="K2" s="381"/>
      <c r="L2" s="228"/>
    </row>
    <row r="3" spans="1:14" s="227" customFormat="1" ht="14.45" customHeight="1" x14ac:dyDescent="0.25">
      <c r="B3" s="381" t="str">
        <f>Menu!A5</f>
        <v>PROGRAM SARJANA</v>
      </c>
      <c r="C3" s="381"/>
      <c r="D3" s="381"/>
      <c r="E3" s="381"/>
      <c r="G3" s="381" t="str">
        <f>Menu!A5</f>
        <v>PROGRAM SARJANA</v>
      </c>
      <c r="H3" s="381"/>
      <c r="I3" s="381"/>
      <c r="J3" s="381"/>
      <c r="K3" s="381"/>
      <c r="L3" s="228"/>
    </row>
    <row r="4" spans="1:14" s="227" customFormat="1" ht="14.45" customHeight="1" x14ac:dyDescent="0.25">
      <c r="B4" s="229"/>
      <c r="C4" s="229"/>
      <c r="D4" s="229"/>
      <c r="E4" s="229"/>
      <c r="I4" s="230"/>
      <c r="J4" s="230"/>
      <c r="K4" s="230"/>
      <c r="L4" s="230"/>
      <c r="M4" s="230"/>
    </row>
    <row r="5" spans="1:14" s="227" customFormat="1" ht="14.45" customHeight="1" x14ac:dyDescent="0.25">
      <c r="B5" s="379" t="s">
        <v>612</v>
      </c>
      <c r="C5" s="379"/>
      <c r="D5" s="379"/>
      <c r="E5" s="379"/>
      <c r="G5" s="380" t="s">
        <v>613</v>
      </c>
      <c r="H5" s="380"/>
      <c r="I5" s="380"/>
      <c r="J5" s="231"/>
      <c r="K5" s="382">
        <f>SUM(H13:H87)</f>
        <v>77.841545624448301</v>
      </c>
      <c r="L5" s="382"/>
      <c r="M5" s="230"/>
      <c r="N5" s="230"/>
    </row>
    <row r="6" spans="1:14" s="227" customFormat="1" ht="14.45" customHeight="1" x14ac:dyDescent="0.25">
      <c r="B6" s="232"/>
      <c r="C6" s="230"/>
      <c r="D6" s="233"/>
      <c r="E6" s="234"/>
      <c r="G6" s="380"/>
      <c r="H6" s="380"/>
      <c r="I6" s="380"/>
      <c r="J6" s="231"/>
      <c r="K6" s="382"/>
      <c r="L6" s="382"/>
      <c r="M6" s="230"/>
      <c r="N6" s="230"/>
    </row>
    <row r="7" spans="1:14" s="227" customFormat="1" ht="14.45" customHeight="1" x14ac:dyDescent="0.25">
      <c r="B7" s="235" t="s">
        <v>7</v>
      </c>
      <c r="C7" s="230"/>
      <c r="D7" s="236">
        <f>Menu!H11</f>
        <v>0</v>
      </c>
      <c r="E7" s="236"/>
      <c r="M7" s="230"/>
      <c r="N7" s="230"/>
    </row>
    <row r="8" spans="1:14" s="227" customFormat="1" ht="14.45" customHeight="1" x14ac:dyDescent="0.25">
      <c r="B8" s="235" t="s">
        <v>614</v>
      </c>
      <c r="C8" s="230"/>
      <c r="D8" s="236">
        <f>Menu!P20</f>
        <v>0</v>
      </c>
      <c r="E8" s="236"/>
      <c r="G8" s="227" t="s">
        <v>615</v>
      </c>
      <c r="H8" s="237"/>
      <c r="K8" s="375" t="str">
        <f>IF(AND(J24="TERPENUHI",J29="TERPENUHI",J53="TERPENUHI"),"TERPENUHI","TIDAK TERPENUHI")</f>
        <v>TIDAK TERPENUHI</v>
      </c>
      <c r="L8" s="375"/>
      <c r="M8" s="375"/>
      <c r="N8" s="375"/>
    </row>
    <row r="9" spans="1:14" s="227" customFormat="1" ht="14.45" customHeight="1" x14ac:dyDescent="0.25">
      <c r="B9" s="235" t="s">
        <v>616</v>
      </c>
      <c r="C9" s="230"/>
      <c r="D9" s="29">
        <f>Menu!H12</f>
        <v>0</v>
      </c>
      <c r="E9" s="236"/>
      <c r="G9" s="227" t="s">
        <v>617</v>
      </c>
      <c r="H9" s="237"/>
      <c r="K9" s="375" t="str">
        <f>IF(AND(L30="TERPENUHI",L32="TERPENUHI",L76="TERPENUHI",L77="TERPENUHI"),"TERPENUHI","TIDAK TERPENUHI")</f>
        <v>TIDAK TERPENUHI</v>
      </c>
      <c r="L9" s="375"/>
      <c r="M9" s="375"/>
      <c r="N9" s="375"/>
    </row>
    <row r="10" spans="1:14" s="227" customFormat="1" ht="14.45" customHeight="1" x14ac:dyDescent="0.25">
      <c r="B10" s="235" t="s">
        <v>618</v>
      </c>
      <c r="C10" s="230"/>
      <c r="D10" s="238">
        <f>Menu!P24</f>
        <v>0</v>
      </c>
      <c r="E10" s="236"/>
      <c r="G10" s="227" t="s">
        <v>619</v>
      </c>
      <c r="K10" s="375" t="str">
        <f>IF(AND(N30="TERPENUHI",N32="TERPENUHI",N76="TERPENUHI",N77="TERPENUHI"),"TERPENUHI","TIDAK TERPENUHI")</f>
        <v>TIDAK TERPENUHI</v>
      </c>
      <c r="L10" s="375"/>
      <c r="M10" s="375"/>
      <c r="N10" s="375"/>
    </row>
    <row r="11" spans="1:14" s="227" customFormat="1" ht="14.45" customHeight="1" x14ac:dyDescent="0.25">
      <c r="B11" s="239"/>
      <c r="C11" s="233"/>
      <c r="D11" s="233"/>
      <c r="E11" s="234"/>
    </row>
    <row r="12" spans="1:14" s="241" customFormat="1" ht="39" customHeight="1" x14ac:dyDescent="0.2">
      <c r="A12" s="240" t="s">
        <v>620</v>
      </c>
      <c r="B12" s="240" t="s">
        <v>620</v>
      </c>
      <c r="C12" s="240" t="s">
        <v>621</v>
      </c>
      <c r="D12" s="240" t="s">
        <v>25</v>
      </c>
      <c r="E12" s="240" t="s">
        <v>24</v>
      </c>
      <c r="G12" s="240" t="s">
        <v>622</v>
      </c>
      <c r="H12" s="240" t="s">
        <v>623</v>
      </c>
      <c r="I12" s="376" t="s">
        <v>624</v>
      </c>
      <c r="J12" s="377"/>
      <c r="K12" s="376" t="s">
        <v>625</v>
      </c>
      <c r="L12" s="377"/>
      <c r="M12" s="378" t="s">
        <v>626</v>
      </c>
      <c r="N12" s="378"/>
    </row>
    <row r="13" spans="1:14" s="247" customFormat="1" ht="48" customHeight="1" x14ac:dyDescent="0.2">
      <c r="A13" s="242">
        <v>1</v>
      </c>
      <c r="B13" s="242">
        <f>'Kertas Kerja'!A7</f>
        <v>1</v>
      </c>
      <c r="C13" s="219" t="s">
        <v>627</v>
      </c>
      <c r="D13" s="243">
        <f>'Kertas Kerja'!H7</f>
        <v>0</v>
      </c>
      <c r="E13" s="244">
        <f>'Kertas Kerja'!E13</f>
        <v>0</v>
      </c>
      <c r="F13" s="245"/>
      <c r="G13" s="246">
        <v>1</v>
      </c>
      <c r="H13" s="246">
        <f t="shared" ref="H13:H44" si="0">E13*G13</f>
        <v>0</v>
      </c>
      <c r="I13" s="251"/>
      <c r="J13" s="251"/>
      <c r="K13" s="251"/>
      <c r="L13" s="251"/>
      <c r="M13" s="251"/>
      <c r="N13" s="251"/>
    </row>
    <row r="14" spans="1:14" s="247" customFormat="1" ht="96" customHeight="1" x14ac:dyDescent="0.2">
      <c r="A14" s="242">
        <v>2</v>
      </c>
      <c r="B14" s="248">
        <f>'Kertas Kerja'!A15</f>
        <v>2</v>
      </c>
      <c r="C14" s="219" t="s">
        <v>628</v>
      </c>
      <c r="D14" s="249">
        <f>'Kertas Kerja'!H15</f>
        <v>0</v>
      </c>
      <c r="E14" s="250">
        <f>'Kertas Kerja'!E21</f>
        <v>0</v>
      </c>
      <c r="F14" s="245"/>
      <c r="G14" s="246">
        <v>1</v>
      </c>
      <c r="H14" s="246">
        <f t="shared" si="0"/>
        <v>0</v>
      </c>
      <c r="I14" s="251"/>
      <c r="J14" s="251"/>
      <c r="K14" s="251"/>
      <c r="L14" s="251"/>
      <c r="M14" s="251"/>
      <c r="N14" s="251"/>
    </row>
    <row r="15" spans="1:14" s="247" customFormat="1" ht="96" customHeight="1" x14ac:dyDescent="0.2">
      <c r="A15" s="242">
        <v>3</v>
      </c>
      <c r="B15" s="248">
        <f>'Kertas Kerja'!A23</f>
        <v>3</v>
      </c>
      <c r="C15" s="220" t="s">
        <v>629</v>
      </c>
      <c r="D15" s="249">
        <f>'Kertas Kerja'!H23</f>
        <v>0</v>
      </c>
      <c r="E15" s="250">
        <f>'Kertas Kerja'!E29</f>
        <v>0</v>
      </c>
      <c r="F15" s="245"/>
      <c r="G15" s="246">
        <v>0.51111111111110996</v>
      </c>
      <c r="H15" s="246">
        <f t="shared" si="0"/>
        <v>0</v>
      </c>
      <c r="I15" s="251"/>
      <c r="J15" s="251"/>
      <c r="K15" s="251"/>
      <c r="L15" s="251"/>
      <c r="M15" s="251"/>
      <c r="N15" s="251"/>
    </row>
    <row r="16" spans="1:14" s="247" customFormat="1" ht="36" customHeight="1" x14ac:dyDescent="0.2">
      <c r="A16" s="242">
        <v>4</v>
      </c>
      <c r="B16" s="248">
        <f>'Kertas Kerja'!A31</f>
        <v>4</v>
      </c>
      <c r="C16" s="220" t="s">
        <v>48</v>
      </c>
      <c r="D16" s="249">
        <f>'Kertas Kerja'!H31</f>
        <v>0</v>
      </c>
      <c r="E16" s="250">
        <f>'Kertas Kerja'!E37</f>
        <v>0</v>
      </c>
      <c r="F16" s="245"/>
      <c r="G16" s="246">
        <v>1.0222222222221999</v>
      </c>
      <c r="H16" s="246">
        <f t="shared" si="0"/>
        <v>0</v>
      </c>
      <c r="I16" s="251"/>
      <c r="J16" s="251"/>
      <c r="K16" s="251"/>
      <c r="L16" s="251"/>
      <c r="M16" s="251"/>
      <c r="N16" s="251"/>
    </row>
    <row r="17" spans="1:14" s="247" customFormat="1" ht="60" customHeight="1" x14ac:dyDescent="0.2">
      <c r="A17" s="242">
        <v>5</v>
      </c>
      <c r="B17" s="248">
        <f>'Kertas Kerja'!A39</f>
        <v>5</v>
      </c>
      <c r="C17" s="221" t="s">
        <v>54</v>
      </c>
      <c r="D17" s="249">
        <f>'Kertas Kerja'!H39</f>
        <v>0</v>
      </c>
      <c r="E17" s="250">
        <f>'Kertas Kerja'!E45</f>
        <v>0</v>
      </c>
      <c r="F17" s="245"/>
      <c r="G17" s="246">
        <v>1.5333333333332999</v>
      </c>
      <c r="H17" s="246">
        <f t="shared" si="0"/>
        <v>0</v>
      </c>
      <c r="I17" s="251"/>
      <c r="J17" s="251"/>
      <c r="K17" s="251"/>
      <c r="L17" s="251"/>
      <c r="M17" s="251"/>
      <c r="N17" s="251"/>
    </row>
    <row r="18" spans="1:14" s="247" customFormat="1" ht="132" customHeight="1" x14ac:dyDescent="0.2">
      <c r="A18" s="242">
        <v>6</v>
      </c>
      <c r="B18" s="248">
        <f>'Kertas Kerja'!A47</f>
        <v>6</v>
      </c>
      <c r="C18" s="221" t="s">
        <v>630</v>
      </c>
      <c r="D18" s="249">
        <f>'Kertas Kerja'!H47</f>
        <v>0</v>
      </c>
      <c r="E18" s="250">
        <f>'Kertas Kerja'!E59</f>
        <v>0</v>
      </c>
      <c r="F18" s="245"/>
      <c r="G18" s="246">
        <v>0.34074074074074001</v>
      </c>
      <c r="H18" s="246">
        <f t="shared" si="0"/>
        <v>0</v>
      </c>
      <c r="I18" s="251"/>
      <c r="J18" s="251"/>
      <c r="K18" s="251"/>
      <c r="L18" s="251"/>
      <c r="M18" s="251"/>
      <c r="N18" s="251"/>
    </row>
    <row r="19" spans="1:14" s="247" customFormat="1" ht="120" customHeight="1" x14ac:dyDescent="0.2">
      <c r="A19" s="242">
        <v>7</v>
      </c>
      <c r="B19" s="248">
        <f>'Kertas Kerja'!A61</f>
        <v>7</v>
      </c>
      <c r="C19" s="221" t="s">
        <v>631</v>
      </c>
      <c r="D19" s="249">
        <f>'Kertas Kerja'!H61</f>
        <v>0</v>
      </c>
      <c r="E19" s="250">
        <f>'Kertas Kerja'!E73</f>
        <v>0</v>
      </c>
      <c r="F19" s="245"/>
      <c r="G19" s="246">
        <v>0.34074074074074001</v>
      </c>
      <c r="H19" s="246">
        <f t="shared" si="0"/>
        <v>0</v>
      </c>
      <c r="I19" s="251"/>
      <c r="J19" s="251"/>
      <c r="K19" s="251"/>
      <c r="L19" s="251"/>
      <c r="M19" s="251"/>
      <c r="N19" s="251"/>
    </row>
    <row r="20" spans="1:14" s="247" customFormat="1" ht="192" customHeight="1" x14ac:dyDescent="0.2">
      <c r="A20" s="242">
        <v>8</v>
      </c>
      <c r="B20" s="248">
        <f>'Kertas Kerja'!A75</f>
        <v>8</v>
      </c>
      <c r="C20" s="221" t="s">
        <v>632</v>
      </c>
      <c r="D20" s="249">
        <f>'Kertas Kerja'!H75</f>
        <v>0</v>
      </c>
      <c r="E20" s="250">
        <f>'Kertas Kerja'!E81</f>
        <v>0</v>
      </c>
      <c r="F20" s="245"/>
      <c r="G20" s="246">
        <v>0.68148148148148002</v>
      </c>
      <c r="H20" s="246">
        <f t="shared" si="0"/>
        <v>0</v>
      </c>
      <c r="I20" s="222"/>
      <c r="J20" s="222"/>
      <c r="K20" s="222"/>
      <c r="L20" s="222"/>
      <c r="M20" s="222"/>
      <c r="N20" s="222"/>
    </row>
    <row r="21" spans="1:14" s="247" customFormat="1" ht="108" customHeight="1" x14ac:dyDescent="0.2">
      <c r="A21" s="242">
        <v>9</v>
      </c>
      <c r="B21" s="248">
        <f>'Kertas Kerja'!A83</f>
        <v>9</v>
      </c>
      <c r="C21" s="221" t="s">
        <v>633</v>
      </c>
      <c r="D21" s="251">
        <f>'Kertas Kerja'!H83</f>
        <v>0</v>
      </c>
      <c r="E21" s="246">
        <f>'Kertas Kerja'!E108</f>
        <v>0</v>
      </c>
      <c r="F21" s="245"/>
      <c r="G21" s="246">
        <v>0.34074074074074001</v>
      </c>
      <c r="H21" s="246">
        <f t="shared" si="0"/>
        <v>0</v>
      </c>
      <c r="I21" s="222"/>
      <c r="J21" s="222"/>
      <c r="K21" s="222"/>
      <c r="L21" s="222"/>
      <c r="M21" s="222"/>
      <c r="N21" s="222"/>
    </row>
    <row r="22" spans="1:14" s="247" customFormat="1" ht="48" customHeight="1" x14ac:dyDescent="0.2">
      <c r="A22" s="242">
        <v>10</v>
      </c>
      <c r="B22" s="248">
        <f>'Kertas Kerja'!A110</f>
        <v>10</v>
      </c>
      <c r="C22" s="221" t="s">
        <v>634</v>
      </c>
      <c r="D22" s="251">
        <f>'Kertas Kerja'!H110</f>
        <v>0</v>
      </c>
      <c r="E22" s="246">
        <f>'Kertas Kerja'!E116</f>
        <v>0</v>
      </c>
      <c r="F22" s="245"/>
      <c r="G22" s="246">
        <v>0.68148148148148002</v>
      </c>
      <c r="H22" s="246">
        <f t="shared" si="0"/>
        <v>0</v>
      </c>
      <c r="I22" s="222"/>
      <c r="J22" s="222"/>
      <c r="K22" s="222"/>
      <c r="L22" s="222"/>
      <c r="M22" s="222"/>
      <c r="N22" s="222"/>
    </row>
    <row r="23" spans="1:14" s="247" customFormat="1" ht="168" customHeight="1" x14ac:dyDescent="0.2">
      <c r="A23" s="242">
        <v>11</v>
      </c>
      <c r="B23" s="248">
        <f>'Kertas Kerja'!A118</f>
        <v>11</v>
      </c>
      <c r="C23" s="221" t="s">
        <v>635</v>
      </c>
      <c r="D23" s="251">
        <f>'Kertas Kerja'!H118</f>
        <v>0</v>
      </c>
      <c r="E23" s="246">
        <f>'Kertas Kerja'!E124</f>
        <v>0</v>
      </c>
      <c r="F23" s="245"/>
      <c r="G23" s="246">
        <v>1.0222222222221999</v>
      </c>
      <c r="H23" s="246">
        <f t="shared" si="0"/>
        <v>0</v>
      </c>
      <c r="I23" s="222"/>
      <c r="J23" s="222"/>
      <c r="K23" s="222"/>
      <c r="L23" s="222"/>
      <c r="M23" s="222"/>
      <c r="N23" s="222"/>
    </row>
    <row r="24" spans="1:14" s="247" customFormat="1" ht="168" customHeight="1" x14ac:dyDescent="0.2">
      <c r="A24" s="242">
        <v>12</v>
      </c>
      <c r="B24" s="248">
        <f>'Kertas Kerja'!A126</f>
        <v>12</v>
      </c>
      <c r="C24" s="221" t="s">
        <v>636</v>
      </c>
      <c r="D24" s="251">
        <f>'Kertas Kerja'!H126</f>
        <v>0</v>
      </c>
      <c r="E24" s="250">
        <f>'Kertas Kerja'!E132</f>
        <v>0</v>
      </c>
      <c r="F24" s="245"/>
      <c r="G24" s="246">
        <v>1.362962962963</v>
      </c>
      <c r="H24" s="246">
        <f t="shared" si="0"/>
        <v>0</v>
      </c>
      <c r="I24" s="222" t="s">
        <v>637</v>
      </c>
      <c r="J24" s="222" t="str">
        <f>IF(E24&gt;=2," TERPENUHI","TIDAK TERPENUHI")</f>
        <v>TIDAK TERPENUHI</v>
      </c>
      <c r="K24" s="222"/>
      <c r="L24" s="222"/>
      <c r="M24" s="222"/>
      <c r="N24" s="222"/>
    </row>
    <row r="25" spans="1:14" s="247" customFormat="1" ht="264" customHeight="1" x14ac:dyDescent="0.2">
      <c r="A25" s="242">
        <v>13</v>
      </c>
      <c r="B25" s="248">
        <f>'Kertas Kerja'!A134</f>
        <v>13</v>
      </c>
      <c r="C25" s="221" t="s">
        <v>638</v>
      </c>
      <c r="D25" s="251">
        <f>'Kertas Kerja'!H134</f>
        <v>0</v>
      </c>
      <c r="E25" s="250">
        <f>'Kertas Kerja'!E140</f>
        <v>0</v>
      </c>
      <c r="F25" s="245"/>
      <c r="G25" s="246">
        <v>1.362962962963</v>
      </c>
      <c r="H25" s="246">
        <f t="shared" si="0"/>
        <v>0</v>
      </c>
      <c r="I25" s="222"/>
      <c r="J25" s="222"/>
      <c r="K25" s="222"/>
      <c r="L25" s="222"/>
      <c r="M25" s="222"/>
      <c r="N25" s="222"/>
    </row>
    <row r="26" spans="1:14" s="247" customFormat="1" ht="84" customHeight="1" x14ac:dyDescent="0.2">
      <c r="A26" s="242">
        <v>14</v>
      </c>
      <c r="B26" s="248">
        <f>'Kertas Kerja'!A142</f>
        <v>14</v>
      </c>
      <c r="C26" s="221" t="s">
        <v>639</v>
      </c>
      <c r="D26" s="251">
        <f>'Kertas Kerja'!H142</f>
        <v>0</v>
      </c>
      <c r="E26" s="250">
        <f>'Kertas Kerja'!E160</f>
        <v>0</v>
      </c>
      <c r="F26" s="245"/>
      <c r="G26" s="246">
        <v>4.5999999999999996</v>
      </c>
      <c r="H26" s="246">
        <f t="shared" si="0"/>
        <v>0</v>
      </c>
      <c r="I26" s="222"/>
      <c r="J26" s="222"/>
      <c r="K26" s="222"/>
      <c r="L26" s="222"/>
      <c r="M26" s="222"/>
      <c r="N26" s="222"/>
    </row>
    <row r="27" spans="1:14" s="247" customFormat="1" ht="60" customHeight="1" x14ac:dyDescent="0.2">
      <c r="A27" s="242">
        <v>15</v>
      </c>
      <c r="B27" s="248">
        <f>'Kertas Kerja'!A162</f>
        <v>15</v>
      </c>
      <c r="C27" s="221" t="s">
        <v>640</v>
      </c>
      <c r="D27" s="251">
        <f>'Kertas Kerja'!H162</f>
        <v>0</v>
      </c>
      <c r="E27" s="250">
        <f>'Kertas Kerja'!E175</f>
        <v>0</v>
      </c>
      <c r="F27" s="245"/>
      <c r="G27" s="246">
        <v>3.0666666666667002</v>
      </c>
      <c r="H27" s="246">
        <f t="shared" si="0"/>
        <v>0</v>
      </c>
      <c r="I27" s="222"/>
      <c r="J27" s="222"/>
      <c r="K27" s="222"/>
      <c r="L27" s="222"/>
      <c r="M27" s="222"/>
      <c r="N27" s="222"/>
    </row>
    <row r="28" spans="1:14" s="247" customFormat="1" ht="108" customHeight="1" x14ac:dyDescent="0.2">
      <c r="A28" s="242">
        <v>16</v>
      </c>
      <c r="B28" s="248">
        <f>'Kertas Kerja'!A177</f>
        <v>16</v>
      </c>
      <c r="C28" s="221" t="s">
        <v>641</v>
      </c>
      <c r="D28" s="251">
        <f>'Kertas Kerja'!H177</f>
        <v>0</v>
      </c>
      <c r="E28" s="250">
        <f>'Kertas Kerja'!E189</f>
        <v>0</v>
      </c>
      <c r="F28" s="245"/>
      <c r="G28" s="246">
        <v>1.5333333333332999</v>
      </c>
      <c r="H28" s="246">
        <f t="shared" si="0"/>
        <v>0</v>
      </c>
      <c r="I28" s="222"/>
      <c r="J28" s="222"/>
      <c r="K28" s="222"/>
      <c r="L28" s="222"/>
      <c r="M28" s="222"/>
      <c r="N28" s="222"/>
    </row>
    <row r="29" spans="1:14" s="247" customFormat="1" ht="60" customHeight="1" x14ac:dyDescent="0.2">
      <c r="A29" s="242">
        <v>17</v>
      </c>
      <c r="B29" s="248">
        <f>'Kertas Kerja'!A191</f>
        <v>17</v>
      </c>
      <c r="C29" s="221" t="s">
        <v>642</v>
      </c>
      <c r="D29" s="251">
        <f>'Kertas Kerja'!H191</f>
        <v>0</v>
      </c>
      <c r="E29" s="250">
        <f>'Kertas Kerja'!E195</f>
        <v>2.6666666666666665</v>
      </c>
      <c r="F29" s="245"/>
      <c r="G29" s="246">
        <v>0.74343434343434001</v>
      </c>
      <c r="H29" s="246">
        <f t="shared" si="0"/>
        <v>1.9824915824915732</v>
      </c>
      <c r="I29" s="222" t="s">
        <v>637</v>
      </c>
      <c r="J29" s="222" t="str">
        <f>IF(E29&gt;=2," TERPENUHI","TIDAK TERPENUHI")</f>
        <v xml:space="preserve"> TERPENUHI</v>
      </c>
      <c r="K29" s="222"/>
      <c r="L29" s="222"/>
      <c r="M29" s="222"/>
      <c r="N29" s="222"/>
    </row>
    <row r="30" spans="1:14" s="247" customFormat="1" ht="36" customHeight="1" x14ac:dyDescent="0.2">
      <c r="A30" s="242">
        <v>18</v>
      </c>
      <c r="B30" s="248">
        <f>'Kertas Kerja'!A197</f>
        <v>18</v>
      </c>
      <c r="C30" s="221" t="s">
        <v>186</v>
      </c>
      <c r="D30" s="251">
        <f>'Kertas Kerja'!H197</f>
        <v>0</v>
      </c>
      <c r="E30" s="250">
        <f>'Kertas Kerja'!E202</f>
        <v>3</v>
      </c>
      <c r="F30" s="245"/>
      <c r="G30" s="246">
        <v>0.99124579124579004</v>
      </c>
      <c r="H30" s="246">
        <f t="shared" si="0"/>
        <v>2.9737373737373702</v>
      </c>
      <c r="I30" s="222"/>
      <c r="J30" s="222"/>
      <c r="K30" s="222" t="s">
        <v>643</v>
      </c>
      <c r="L30" s="222" t="str">
        <f>IF(E30&gt;=3.5," TERPENUHI","TIDAK TERPENUHI")</f>
        <v>TIDAK TERPENUHI</v>
      </c>
      <c r="M30" s="222" t="s">
        <v>644</v>
      </c>
      <c r="N30" s="222" t="str">
        <f>IF(E30&gt;=3," TERPENUHI","TIDAK TERPENUHI")</f>
        <v xml:space="preserve"> TERPENUHI</v>
      </c>
    </row>
    <row r="31" spans="1:14" s="247" customFormat="1" ht="12" hidden="1" customHeight="1" x14ac:dyDescent="0.2">
      <c r="A31" s="242">
        <v>19</v>
      </c>
      <c r="B31" s="248">
        <f>'Kertas Kerja'!A204</f>
        <v>0</v>
      </c>
      <c r="C31" s="224"/>
      <c r="D31" s="251">
        <f>'Kertas Kerja'!H204</f>
        <v>0</v>
      </c>
      <c r="E31" s="250">
        <f>'Kertas Kerja'!E209</f>
        <v>0</v>
      </c>
      <c r="F31" s="245"/>
      <c r="G31" s="246"/>
      <c r="H31" s="246">
        <f t="shared" si="0"/>
        <v>0</v>
      </c>
      <c r="I31" s="222"/>
      <c r="J31" s="222"/>
      <c r="K31" s="222"/>
      <c r="L31" s="222"/>
      <c r="M31" s="222"/>
      <c r="N31" s="222"/>
    </row>
    <row r="32" spans="1:14" s="247" customFormat="1" ht="36" customHeight="1" x14ac:dyDescent="0.2">
      <c r="A32" s="242">
        <v>20</v>
      </c>
      <c r="B32" s="248">
        <f>'Kertas Kerja'!A211</f>
        <v>19</v>
      </c>
      <c r="C32" s="221" t="s">
        <v>189</v>
      </c>
      <c r="D32" s="251">
        <f>'Kertas Kerja'!H211</f>
        <v>0</v>
      </c>
      <c r="E32" s="250">
        <f>'Kertas Kerja'!E218</f>
        <v>4</v>
      </c>
      <c r="F32" s="245"/>
      <c r="G32" s="246">
        <v>0.49562289562290002</v>
      </c>
      <c r="H32" s="246">
        <f t="shared" si="0"/>
        <v>1.9824915824916001</v>
      </c>
      <c r="I32" s="222"/>
      <c r="J32" s="222"/>
      <c r="K32" s="222" t="s">
        <v>643</v>
      </c>
      <c r="L32" s="222" t="str">
        <f>IF(E32&gt;=3.5," TERPENUHI","TIDAK TERPENUHI")</f>
        <v xml:space="preserve"> TERPENUHI</v>
      </c>
      <c r="M32" s="222" t="s">
        <v>644</v>
      </c>
      <c r="N32" s="222" t="str">
        <f>IF(E32&gt;=3," TERPENUHI","TIDAK TERPENUHI")</f>
        <v xml:space="preserve"> TERPENUHI</v>
      </c>
    </row>
    <row r="33" spans="1:14" s="247" customFormat="1" ht="48" customHeight="1" x14ac:dyDescent="0.2">
      <c r="A33" s="242">
        <v>21</v>
      </c>
      <c r="B33" s="248">
        <f>'Kertas Kerja'!A220</f>
        <v>20</v>
      </c>
      <c r="C33" s="221" t="s">
        <v>645</v>
      </c>
      <c r="D33" s="251">
        <f>'Kertas Kerja'!H220</f>
        <v>0</v>
      </c>
      <c r="E33" s="250">
        <f>'Kertas Kerja'!E239</f>
        <v>0</v>
      </c>
      <c r="F33" s="245"/>
      <c r="G33" s="246">
        <v>0.49562289562290002</v>
      </c>
      <c r="H33" s="246">
        <f t="shared" si="0"/>
        <v>0</v>
      </c>
      <c r="I33" s="222"/>
      <c r="J33" s="222"/>
      <c r="K33" s="222"/>
      <c r="L33" s="222"/>
      <c r="M33" s="222"/>
      <c r="N33" s="222"/>
    </row>
    <row r="34" spans="1:14" s="247" customFormat="1" ht="36" customHeight="1" x14ac:dyDescent="0.2">
      <c r="A34" s="242">
        <v>22</v>
      </c>
      <c r="B34" s="248">
        <f>'Kertas Kerja'!A241</f>
        <v>21</v>
      </c>
      <c r="C34" s="221" t="s">
        <v>207</v>
      </c>
      <c r="D34" s="251">
        <f>'Kertas Kerja'!H241</f>
        <v>0</v>
      </c>
      <c r="E34" s="250">
        <f>'Kertas Kerja'!E247</f>
        <v>3.6583333333333252</v>
      </c>
      <c r="F34" s="245"/>
      <c r="G34" s="246">
        <v>0.99124579124579004</v>
      </c>
      <c r="H34" s="246">
        <f t="shared" si="0"/>
        <v>3.6263075196408407</v>
      </c>
      <c r="I34" s="222"/>
      <c r="J34" s="222"/>
      <c r="K34" s="222"/>
      <c r="L34" s="222"/>
      <c r="M34" s="222"/>
      <c r="N34" s="222"/>
    </row>
    <row r="35" spans="1:14" s="247" customFormat="1" ht="36" customHeight="1" x14ac:dyDescent="0.2">
      <c r="A35" s="242">
        <v>23</v>
      </c>
      <c r="B35" s="248">
        <f>'Kertas Kerja'!A249</f>
        <v>22</v>
      </c>
      <c r="C35" s="221" t="s">
        <v>211</v>
      </c>
      <c r="D35" s="251">
        <f>'Kertas Kerja'!H249</f>
        <v>0</v>
      </c>
      <c r="E35" s="250">
        <f>'Kertas Kerja'!E257</f>
        <v>0.44444444444446651</v>
      </c>
      <c r="F35" s="245"/>
      <c r="G35" s="246">
        <v>0.24781144781145001</v>
      </c>
      <c r="H35" s="246">
        <f t="shared" si="0"/>
        <v>0.11013842124953881</v>
      </c>
      <c r="I35" s="222"/>
      <c r="J35" s="222"/>
      <c r="K35" s="222"/>
      <c r="L35" s="222"/>
      <c r="M35" s="222"/>
      <c r="N35" s="222"/>
    </row>
    <row r="36" spans="1:14" s="247" customFormat="1" ht="24" customHeight="1" x14ac:dyDescent="0.2">
      <c r="A36" s="242">
        <v>24</v>
      </c>
      <c r="B36" s="248">
        <f>'Kertas Kerja'!A259</f>
        <v>23</v>
      </c>
      <c r="C36" s="221" t="s">
        <v>216</v>
      </c>
      <c r="D36" s="251">
        <f>'Kertas Kerja'!H259</f>
        <v>0</v>
      </c>
      <c r="E36" s="250">
        <f>'Kertas Kerja'!E265</f>
        <v>0</v>
      </c>
      <c r="F36" s="245"/>
      <c r="G36" s="246">
        <v>0.49562289562290002</v>
      </c>
      <c r="H36" s="246">
        <f t="shared" si="0"/>
        <v>0</v>
      </c>
      <c r="I36" s="222"/>
      <c r="J36" s="222"/>
      <c r="K36" s="222"/>
      <c r="L36" s="222"/>
      <c r="M36" s="222"/>
      <c r="N36" s="222"/>
    </row>
    <row r="37" spans="1:14" s="247" customFormat="1" ht="12" hidden="1" customHeight="1" x14ac:dyDescent="0.2">
      <c r="A37" s="242">
        <v>25</v>
      </c>
      <c r="B37" s="248">
        <f>'Kertas Kerja'!A267</f>
        <v>0</v>
      </c>
      <c r="C37" s="224"/>
      <c r="D37" s="251">
        <f>'Kertas Kerja'!H267</f>
        <v>0</v>
      </c>
      <c r="E37" s="250">
        <f>'Kertas Kerja'!E272</f>
        <v>0</v>
      </c>
      <c r="F37" s="245"/>
      <c r="G37" s="246"/>
      <c r="H37" s="246">
        <f t="shared" si="0"/>
        <v>0</v>
      </c>
      <c r="I37" s="222"/>
      <c r="J37" s="222"/>
      <c r="K37" s="222"/>
      <c r="L37" s="222"/>
      <c r="M37" s="222"/>
      <c r="N37" s="222"/>
    </row>
    <row r="38" spans="1:14" s="247" customFormat="1" ht="48" customHeight="1" x14ac:dyDescent="0.2">
      <c r="A38" s="242">
        <v>26</v>
      </c>
      <c r="B38" s="248">
        <f>'Kertas Kerja'!A274</f>
        <v>24</v>
      </c>
      <c r="C38" s="221" t="s">
        <v>646</v>
      </c>
      <c r="D38" s="251">
        <f>'Kertas Kerja'!H274</f>
        <v>0</v>
      </c>
      <c r="E38" s="250">
        <f>'Kertas Kerja'!E279</f>
        <v>2</v>
      </c>
      <c r="F38" s="245"/>
      <c r="G38" s="246">
        <v>0.81101928374655996</v>
      </c>
      <c r="H38" s="246">
        <f t="shared" si="0"/>
        <v>1.6220385674931199</v>
      </c>
      <c r="I38" s="222"/>
      <c r="J38" s="222"/>
      <c r="K38" s="222"/>
      <c r="L38" s="222"/>
      <c r="M38" s="222"/>
      <c r="N38" s="222"/>
    </row>
    <row r="39" spans="1:14" s="247" customFormat="1" ht="48" customHeight="1" x14ac:dyDescent="0.2">
      <c r="A39" s="242">
        <v>27</v>
      </c>
      <c r="B39" s="248">
        <f>'Kertas Kerja'!A281</f>
        <v>25</v>
      </c>
      <c r="C39" s="221" t="s">
        <v>224</v>
      </c>
      <c r="D39" s="251">
        <f>'Kertas Kerja'!H281</f>
        <v>0</v>
      </c>
      <c r="E39" s="250">
        <f>'Kertas Kerja'!E297</f>
        <v>2</v>
      </c>
      <c r="F39" s="245"/>
      <c r="G39" s="246">
        <v>0.81101928374655996</v>
      </c>
      <c r="H39" s="246">
        <f t="shared" si="0"/>
        <v>1.6220385674931199</v>
      </c>
      <c r="I39" s="222"/>
      <c r="J39" s="222"/>
      <c r="K39" s="222"/>
      <c r="L39" s="222"/>
      <c r="M39" s="222"/>
      <c r="N39" s="222"/>
    </row>
    <row r="40" spans="1:14" s="247" customFormat="1" ht="48" customHeight="1" x14ac:dyDescent="0.2">
      <c r="A40" s="242">
        <v>28</v>
      </c>
      <c r="B40" s="248">
        <f>'Kertas Kerja'!A299</f>
        <v>26</v>
      </c>
      <c r="C40" s="221" t="s">
        <v>236</v>
      </c>
      <c r="D40" s="251">
        <f>'Kertas Kerja'!H299</f>
        <v>0</v>
      </c>
      <c r="E40" s="250">
        <f>'Kertas Kerja'!E315</f>
        <v>2</v>
      </c>
      <c r="F40" s="245"/>
      <c r="G40" s="246">
        <v>0.40550964187327998</v>
      </c>
      <c r="H40" s="246">
        <f t="shared" si="0"/>
        <v>0.81101928374655996</v>
      </c>
      <c r="I40" s="222"/>
      <c r="J40" s="222"/>
      <c r="K40" s="222"/>
      <c r="L40" s="222"/>
      <c r="M40" s="222"/>
      <c r="N40" s="222"/>
    </row>
    <row r="41" spans="1:14" s="247" customFormat="1" ht="60" customHeight="1" x14ac:dyDescent="0.2">
      <c r="A41" s="242">
        <v>29</v>
      </c>
      <c r="B41" s="248">
        <f>'Kertas Kerja'!A317</f>
        <v>27</v>
      </c>
      <c r="C41" s="222" t="s">
        <v>240</v>
      </c>
      <c r="D41" s="251">
        <f>'Kertas Kerja'!H317</f>
        <v>0</v>
      </c>
      <c r="E41" s="250">
        <f>'Kertas Kerja'!E340</f>
        <v>4</v>
      </c>
      <c r="F41" s="245"/>
      <c r="G41" s="246">
        <v>0.81101928374655996</v>
      </c>
      <c r="H41" s="246">
        <f t="shared" si="0"/>
        <v>3.2440771349862398</v>
      </c>
      <c r="I41" s="222"/>
      <c r="J41" s="222"/>
      <c r="K41" s="222"/>
      <c r="L41" s="222"/>
      <c r="M41" s="222"/>
      <c r="N41" s="222"/>
    </row>
    <row r="42" spans="1:14" s="247" customFormat="1" ht="36" customHeight="1" x14ac:dyDescent="0.2">
      <c r="A42" s="242">
        <v>30</v>
      </c>
      <c r="B42" s="248">
        <f>'Kertas Kerja'!A342</f>
        <v>28</v>
      </c>
      <c r="C42" s="223" t="s">
        <v>254</v>
      </c>
      <c r="D42" s="251">
        <f>'Kertas Kerja'!H342</f>
        <v>0</v>
      </c>
      <c r="E42" s="250">
        <f>'Kertas Kerja'!E347</f>
        <v>4</v>
      </c>
      <c r="F42" s="245"/>
      <c r="G42" s="246">
        <v>0.81101928374655996</v>
      </c>
      <c r="H42" s="246">
        <f t="shared" si="0"/>
        <v>3.2440771349862398</v>
      </c>
      <c r="I42" s="222"/>
      <c r="J42" s="222"/>
      <c r="K42" s="222"/>
      <c r="L42" s="222"/>
      <c r="M42" s="222"/>
      <c r="N42" s="222"/>
    </row>
    <row r="43" spans="1:14" s="247" customFormat="1" ht="12" hidden="1" customHeight="1" x14ac:dyDescent="0.2">
      <c r="A43" s="242">
        <v>31</v>
      </c>
      <c r="B43" s="248">
        <f>'Kertas Kerja'!A349</f>
        <v>0</v>
      </c>
      <c r="C43" s="224"/>
      <c r="D43" s="251">
        <f>'Kertas Kerja'!H349</f>
        <v>0</v>
      </c>
      <c r="E43" s="250">
        <f>'Kertas Kerja'!E354</f>
        <v>0</v>
      </c>
      <c r="F43" s="245"/>
      <c r="G43" s="246"/>
      <c r="H43" s="246">
        <f t="shared" si="0"/>
        <v>0</v>
      </c>
      <c r="I43" s="222"/>
      <c r="J43" s="222"/>
      <c r="K43" s="222"/>
      <c r="L43" s="222"/>
      <c r="M43" s="222"/>
      <c r="N43" s="222"/>
    </row>
    <row r="44" spans="1:14" s="247" customFormat="1" ht="36" customHeight="1" x14ac:dyDescent="0.2">
      <c r="A44" s="242">
        <v>32</v>
      </c>
      <c r="B44" s="248">
        <f>'Kertas Kerja'!A356</f>
        <v>29</v>
      </c>
      <c r="C44" s="223" t="s">
        <v>257</v>
      </c>
      <c r="D44" s="251">
        <f>'Kertas Kerja'!H356</f>
        <v>0</v>
      </c>
      <c r="E44" s="250">
        <f>'Kertas Kerja'!E364</f>
        <v>2</v>
      </c>
      <c r="F44" s="245"/>
      <c r="G44" s="246">
        <v>0.81101928374655996</v>
      </c>
      <c r="H44" s="246">
        <f t="shared" si="0"/>
        <v>1.6220385674931199</v>
      </c>
      <c r="I44" s="222"/>
      <c r="J44" s="222"/>
      <c r="K44" s="222"/>
      <c r="L44" s="222"/>
      <c r="M44" s="222"/>
      <c r="N44" s="222"/>
    </row>
    <row r="45" spans="1:14" s="247" customFormat="1" ht="24" customHeight="1" x14ac:dyDescent="0.2">
      <c r="A45" s="242">
        <v>33</v>
      </c>
      <c r="B45" s="248">
        <f>'Kertas Kerja'!A366</f>
        <v>30</v>
      </c>
      <c r="C45" s="221" t="s">
        <v>647</v>
      </c>
      <c r="D45" s="251">
        <f>'Kertas Kerja'!H366</f>
        <v>0</v>
      </c>
      <c r="E45" s="250">
        <f>'Kertas Kerja'!E373</f>
        <v>0</v>
      </c>
      <c r="F45" s="245"/>
      <c r="G45" s="246">
        <v>2.2303030303029998</v>
      </c>
      <c r="H45" s="246">
        <f t="shared" ref="H45:H76" si="1">E45*G45</f>
        <v>0</v>
      </c>
      <c r="I45" s="222"/>
      <c r="J45" s="222"/>
      <c r="K45" s="222"/>
      <c r="L45" s="222"/>
      <c r="M45" s="222"/>
      <c r="N45" s="222"/>
    </row>
    <row r="46" spans="1:14" s="247" customFormat="1" ht="96" customHeight="1" x14ac:dyDescent="0.2">
      <c r="A46" s="242">
        <v>34</v>
      </c>
      <c r="B46" s="248">
        <f>'Kertas Kerja'!A375</f>
        <v>31</v>
      </c>
      <c r="C46" s="221" t="s">
        <v>648</v>
      </c>
      <c r="D46" s="251">
        <f>'Kertas Kerja'!H375</f>
        <v>0</v>
      </c>
      <c r="E46" s="250">
        <f>'Kertas Kerja'!E387</f>
        <v>0</v>
      </c>
      <c r="F46" s="245"/>
      <c r="G46" s="246">
        <v>1.1151515151514999</v>
      </c>
      <c r="H46" s="246">
        <f t="shared" si="1"/>
        <v>0</v>
      </c>
      <c r="I46" s="222"/>
      <c r="J46" s="222"/>
      <c r="K46" s="222"/>
      <c r="L46" s="222"/>
      <c r="M46" s="222"/>
      <c r="N46" s="222"/>
    </row>
    <row r="47" spans="1:14" s="247" customFormat="1" ht="60" customHeight="1" x14ac:dyDescent="0.2">
      <c r="A47" s="242">
        <v>35</v>
      </c>
      <c r="B47" s="248">
        <f>'Kertas Kerja'!A389</f>
        <v>32</v>
      </c>
      <c r="C47" s="221" t="s">
        <v>649</v>
      </c>
      <c r="D47" s="251">
        <f>'Kertas Kerja'!H389</f>
        <v>0</v>
      </c>
      <c r="E47" s="250">
        <f>'Kertas Kerja'!E394</f>
        <v>6.2513455657492348E-2</v>
      </c>
      <c r="F47" s="245"/>
      <c r="G47" s="246">
        <v>0.76666666666667005</v>
      </c>
      <c r="H47" s="246">
        <f t="shared" si="1"/>
        <v>4.7926982670744342E-2</v>
      </c>
      <c r="I47" s="222"/>
      <c r="J47" s="222"/>
      <c r="K47" s="222"/>
      <c r="L47" s="222"/>
      <c r="M47" s="222"/>
      <c r="N47" s="222"/>
    </row>
    <row r="48" spans="1:14" s="247" customFormat="1" ht="24" customHeight="1" x14ac:dyDescent="0.2">
      <c r="A48" s="242">
        <v>36</v>
      </c>
      <c r="B48" s="248">
        <f>'Kertas Kerja'!A396</f>
        <v>33</v>
      </c>
      <c r="C48" s="221" t="s">
        <v>283</v>
      </c>
      <c r="D48" s="251">
        <f>'Kertas Kerja'!H396</f>
        <v>0</v>
      </c>
      <c r="E48" s="250">
        <f>'Kertas Kerja'!E401</f>
        <v>0.39999999999999997</v>
      </c>
      <c r="F48" s="245"/>
      <c r="G48" s="246">
        <v>0.76666666666667005</v>
      </c>
      <c r="H48" s="246">
        <f t="shared" si="1"/>
        <v>0.30666666666666798</v>
      </c>
      <c r="I48" s="222"/>
      <c r="J48" s="222"/>
      <c r="K48" s="222"/>
      <c r="L48" s="222"/>
      <c r="M48" s="222"/>
      <c r="N48" s="222"/>
    </row>
    <row r="49" spans="1:14" s="247" customFormat="1" ht="36" customHeight="1" x14ac:dyDescent="0.2">
      <c r="A49" s="242">
        <v>37</v>
      </c>
      <c r="B49" s="248">
        <f>'Kertas Kerja'!A403</f>
        <v>34</v>
      </c>
      <c r="C49" s="221" t="s">
        <v>286</v>
      </c>
      <c r="D49" s="251">
        <f>'Kertas Kerja'!H403</f>
        <v>0</v>
      </c>
      <c r="E49" s="250">
        <f>'Kertas Kerja'!E408</f>
        <v>1.0172839555555555</v>
      </c>
      <c r="F49" s="245"/>
      <c r="G49" s="246">
        <v>0.38333333333332997</v>
      </c>
      <c r="H49" s="246">
        <f t="shared" si="1"/>
        <v>0.38995884962962618</v>
      </c>
      <c r="I49" s="222"/>
      <c r="J49" s="222"/>
      <c r="K49" s="222"/>
      <c r="L49" s="222"/>
      <c r="M49" s="222"/>
      <c r="N49" s="222"/>
    </row>
    <row r="50" spans="1:14" s="247" customFormat="1" ht="36" customHeight="1" x14ac:dyDescent="0.2">
      <c r="A50" s="242">
        <v>38</v>
      </c>
      <c r="B50" s="248">
        <f>'Kertas Kerja'!A410</f>
        <v>35</v>
      </c>
      <c r="C50" s="221" t="s">
        <v>650</v>
      </c>
      <c r="D50" s="251">
        <f>'Kertas Kerja'!H410</f>
        <v>0</v>
      </c>
      <c r="E50" s="250">
        <f>'Kertas Kerja'!E417</f>
        <v>0</v>
      </c>
      <c r="F50" s="245"/>
      <c r="G50" s="246">
        <v>0.38333333333332997</v>
      </c>
      <c r="H50" s="246">
        <f t="shared" si="1"/>
        <v>0</v>
      </c>
      <c r="I50" s="222"/>
      <c r="J50" s="222"/>
      <c r="K50" s="222"/>
      <c r="L50" s="222"/>
      <c r="M50" s="222"/>
      <c r="N50" s="222"/>
    </row>
    <row r="51" spans="1:14" s="247" customFormat="1" ht="24" customHeight="1" x14ac:dyDescent="0.2">
      <c r="A51" s="242">
        <v>39</v>
      </c>
      <c r="B51" s="248">
        <f>'Kertas Kerja'!A419</f>
        <v>36</v>
      </c>
      <c r="C51" s="221" t="s">
        <v>296</v>
      </c>
      <c r="D51" s="251">
        <f>'Kertas Kerja'!H419</f>
        <v>0</v>
      </c>
      <c r="E51" s="250">
        <f>'Kertas Kerja'!E425</f>
        <v>0</v>
      </c>
      <c r="F51" s="245"/>
      <c r="G51" s="246">
        <v>0.76666666666667005</v>
      </c>
      <c r="H51" s="246">
        <f t="shared" si="1"/>
        <v>0</v>
      </c>
      <c r="I51" s="222"/>
      <c r="J51" s="222"/>
      <c r="K51" s="222"/>
      <c r="L51" s="222"/>
      <c r="M51" s="222"/>
      <c r="N51" s="222"/>
    </row>
    <row r="52" spans="1:14" s="247" customFormat="1" ht="60" customHeight="1" x14ac:dyDescent="0.2">
      <c r="A52" s="242">
        <v>40</v>
      </c>
      <c r="B52" s="248">
        <f>'Kertas Kerja'!A427</f>
        <v>37</v>
      </c>
      <c r="C52" s="221" t="s">
        <v>651</v>
      </c>
      <c r="D52" s="251">
        <f>'Kertas Kerja'!H427</f>
        <v>0</v>
      </c>
      <c r="E52" s="250">
        <f>'Kertas Kerja'!E433</f>
        <v>0</v>
      </c>
      <c r="F52" s="245"/>
      <c r="G52" s="246">
        <v>3.0666666666667002</v>
      </c>
      <c r="H52" s="246">
        <f t="shared" si="1"/>
        <v>0</v>
      </c>
      <c r="I52" s="222"/>
      <c r="J52" s="222"/>
      <c r="K52" s="222"/>
      <c r="L52" s="222"/>
      <c r="M52" s="222"/>
      <c r="N52" s="222"/>
    </row>
    <row r="53" spans="1:14" s="247" customFormat="1" ht="132" customHeight="1" x14ac:dyDescent="0.2">
      <c r="A53" s="242">
        <v>41</v>
      </c>
      <c r="B53" s="248">
        <f>'Kertas Kerja'!A435</f>
        <v>38</v>
      </c>
      <c r="C53" s="221" t="s">
        <v>652</v>
      </c>
      <c r="D53" s="251">
        <f>'Kertas Kerja'!H435</f>
        <v>0</v>
      </c>
      <c r="E53" s="250">
        <f>'Kertas Kerja'!E453</f>
        <v>0</v>
      </c>
      <c r="F53" s="245"/>
      <c r="G53" s="246">
        <v>2.5090909090908999</v>
      </c>
      <c r="H53" s="246">
        <f t="shared" si="1"/>
        <v>0</v>
      </c>
      <c r="I53" s="222" t="s">
        <v>637</v>
      </c>
      <c r="J53" s="222" t="str">
        <f>IF(E53&gt;=2," TERPENUHI","TIDAK TERPENUHI")</f>
        <v>TIDAK TERPENUHI</v>
      </c>
      <c r="K53" s="222"/>
      <c r="L53" s="222"/>
      <c r="M53" s="222"/>
      <c r="N53" s="222"/>
    </row>
    <row r="54" spans="1:14" s="247" customFormat="1" ht="96" customHeight="1" x14ac:dyDescent="0.2">
      <c r="A54" s="242">
        <v>42</v>
      </c>
      <c r="B54" s="248">
        <f>'Kertas Kerja'!A455</f>
        <v>39</v>
      </c>
      <c r="C54" s="221" t="s">
        <v>653</v>
      </c>
      <c r="D54" s="251">
        <f>'Kertas Kerja'!H455</f>
        <v>0</v>
      </c>
      <c r="E54" s="250">
        <f>'Kertas Kerja'!E461</f>
        <v>0</v>
      </c>
      <c r="F54" s="245"/>
      <c r="G54" s="246">
        <v>0.83636363636363997</v>
      </c>
      <c r="H54" s="246">
        <f t="shared" si="1"/>
        <v>0</v>
      </c>
      <c r="I54" s="222"/>
      <c r="J54" s="222"/>
      <c r="K54" s="222"/>
      <c r="L54" s="222"/>
      <c r="M54" s="222"/>
      <c r="N54" s="222"/>
    </row>
    <row r="55" spans="1:14" s="247" customFormat="1" ht="72" customHeight="1" x14ac:dyDescent="0.2">
      <c r="A55" s="242">
        <v>43</v>
      </c>
      <c r="B55" s="248">
        <f>'Kertas Kerja'!A463</f>
        <v>40</v>
      </c>
      <c r="C55" s="221" t="s">
        <v>654</v>
      </c>
      <c r="D55" s="251">
        <f>'Kertas Kerja'!H463</f>
        <v>0</v>
      </c>
      <c r="E55" s="250">
        <f>'Kertas Kerja'!E475</f>
        <v>0</v>
      </c>
      <c r="F55" s="245"/>
      <c r="G55" s="246">
        <v>1.6727272727272999</v>
      </c>
      <c r="H55" s="246">
        <f t="shared" si="1"/>
        <v>0</v>
      </c>
      <c r="I55" s="222"/>
      <c r="J55" s="222"/>
      <c r="K55" s="222"/>
      <c r="L55" s="222"/>
      <c r="M55" s="222"/>
      <c r="N55" s="222"/>
    </row>
    <row r="56" spans="1:14" s="247" customFormat="1" ht="409.5" customHeight="1" x14ac:dyDescent="0.2">
      <c r="A56" s="242">
        <v>44</v>
      </c>
      <c r="B56" s="248">
        <f>'Kertas Kerja'!A477</f>
        <v>41</v>
      </c>
      <c r="C56" s="221" t="s">
        <v>655</v>
      </c>
      <c r="D56" s="251">
        <f>'Kertas Kerja'!H477</f>
        <v>0</v>
      </c>
      <c r="E56" s="250">
        <f>'Kertas Kerja'!E507</f>
        <v>0</v>
      </c>
      <c r="F56" s="245"/>
      <c r="G56" s="246">
        <v>1.1151515151514999</v>
      </c>
      <c r="H56" s="246">
        <f t="shared" si="1"/>
        <v>0</v>
      </c>
      <c r="I56" s="222"/>
      <c r="J56" s="222"/>
      <c r="K56" s="222"/>
      <c r="L56" s="222"/>
      <c r="M56" s="222"/>
      <c r="N56" s="222"/>
    </row>
    <row r="57" spans="1:14" s="247" customFormat="1" ht="48" customHeight="1" x14ac:dyDescent="0.2">
      <c r="A57" s="242">
        <v>45</v>
      </c>
      <c r="B57" s="248">
        <f>'Kertas Kerja'!A509</f>
        <v>42</v>
      </c>
      <c r="C57" s="221" t="s">
        <v>374</v>
      </c>
      <c r="D57" s="251">
        <f>'Kertas Kerja'!H509</f>
        <v>0</v>
      </c>
      <c r="E57" s="250">
        <f>'Kertas Kerja'!E514</f>
        <v>1.5094339622641508</v>
      </c>
      <c r="F57" s="245"/>
      <c r="G57" s="246">
        <v>0.55757575757575994</v>
      </c>
      <c r="H57" s="246">
        <f t="shared" si="1"/>
        <v>0.841623785020015</v>
      </c>
      <c r="I57" s="222"/>
      <c r="J57" s="222"/>
      <c r="K57" s="222"/>
      <c r="L57" s="222"/>
      <c r="M57" s="222"/>
      <c r="N57" s="222"/>
    </row>
    <row r="58" spans="1:14" s="247" customFormat="1" ht="108" customHeight="1" x14ac:dyDescent="0.2">
      <c r="A58" s="242">
        <v>46</v>
      </c>
      <c r="B58" s="248">
        <f>'Kertas Kerja'!A516</f>
        <v>43</v>
      </c>
      <c r="C58" s="221" t="s">
        <v>656</v>
      </c>
      <c r="D58" s="251">
        <f>'Kertas Kerja'!H516</f>
        <v>0</v>
      </c>
      <c r="E58" s="252">
        <f>'Kertas Kerja'!E522</f>
        <v>0</v>
      </c>
      <c r="G58" s="246">
        <v>2.5090909090908999</v>
      </c>
      <c r="H58" s="246">
        <f t="shared" si="1"/>
        <v>0</v>
      </c>
      <c r="I58" s="222"/>
      <c r="J58" s="222"/>
      <c r="K58" s="222"/>
      <c r="L58" s="222"/>
      <c r="M58" s="222"/>
      <c r="N58" s="222"/>
    </row>
    <row r="59" spans="1:14" s="247" customFormat="1" ht="409.5" customHeight="1" x14ac:dyDescent="0.2">
      <c r="A59" s="242">
        <v>47</v>
      </c>
      <c r="B59" s="248">
        <f>'Kertas Kerja'!A524</f>
        <v>44</v>
      </c>
      <c r="C59" s="221" t="s">
        <v>657</v>
      </c>
      <c r="D59" s="251">
        <f>'Kertas Kerja'!H524</f>
        <v>0</v>
      </c>
      <c r="E59" s="253">
        <f>'Kertas Kerja'!E554</f>
        <v>0</v>
      </c>
      <c r="G59" s="246">
        <v>1.6727272727272999</v>
      </c>
      <c r="H59" s="246">
        <f t="shared" si="1"/>
        <v>0</v>
      </c>
      <c r="I59" s="222"/>
      <c r="J59" s="222"/>
      <c r="K59" s="222"/>
      <c r="L59" s="222"/>
      <c r="M59" s="222"/>
      <c r="N59" s="222"/>
    </row>
    <row r="60" spans="1:14" s="247" customFormat="1" ht="72" customHeight="1" x14ac:dyDescent="0.2">
      <c r="A60" s="242">
        <v>48</v>
      </c>
      <c r="B60" s="248">
        <f>'Kertas Kerja'!A556</f>
        <v>45</v>
      </c>
      <c r="C60" s="221" t="s">
        <v>658</v>
      </c>
      <c r="D60" s="251">
        <f>'Kertas Kerja'!H556</f>
        <v>0</v>
      </c>
      <c r="E60" s="252">
        <f>'Kertas Kerja'!E562</f>
        <v>2</v>
      </c>
      <c r="G60" s="246">
        <v>1.6727272727272999</v>
      </c>
      <c r="H60" s="246">
        <f t="shared" si="1"/>
        <v>3.3454545454545999</v>
      </c>
      <c r="I60" s="222"/>
      <c r="J60" s="222"/>
      <c r="K60" s="222"/>
      <c r="L60" s="222"/>
      <c r="M60" s="222"/>
      <c r="N60" s="222"/>
    </row>
    <row r="61" spans="1:14" s="247" customFormat="1" ht="96" customHeight="1" x14ac:dyDescent="0.2">
      <c r="A61" s="242">
        <v>49</v>
      </c>
      <c r="B61" s="248">
        <f>'Kertas Kerja'!A564</f>
        <v>46</v>
      </c>
      <c r="C61" s="221" t="s">
        <v>659</v>
      </c>
      <c r="D61" s="254">
        <f>'Kertas Kerja'!H564</f>
        <v>0</v>
      </c>
      <c r="E61" s="252">
        <f>'Kertas Kerja'!E570</f>
        <v>0</v>
      </c>
      <c r="G61" s="246">
        <v>2.5090909090908999</v>
      </c>
      <c r="H61" s="246">
        <f t="shared" si="1"/>
        <v>0</v>
      </c>
      <c r="I61" s="222"/>
      <c r="J61" s="222"/>
      <c r="K61" s="222"/>
      <c r="L61" s="222"/>
      <c r="M61" s="222"/>
      <c r="N61" s="222"/>
    </row>
    <row r="62" spans="1:14" s="247" customFormat="1" ht="72" customHeight="1" x14ac:dyDescent="0.2">
      <c r="A62" s="242">
        <v>50</v>
      </c>
      <c r="B62" s="248">
        <f>'Kertas Kerja'!A572</f>
        <v>47</v>
      </c>
      <c r="C62" s="221" t="s">
        <v>660</v>
      </c>
      <c r="D62" s="255">
        <f>'Kertas Kerja'!H572</f>
        <v>0</v>
      </c>
      <c r="E62" s="252">
        <f>'Kertas Kerja'!E609</f>
        <v>0</v>
      </c>
      <c r="G62" s="246">
        <v>3.3454545454544999</v>
      </c>
      <c r="H62" s="246">
        <f t="shared" si="1"/>
        <v>0</v>
      </c>
      <c r="I62" s="222"/>
      <c r="J62" s="222"/>
      <c r="K62" s="222"/>
      <c r="L62" s="222"/>
      <c r="M62" s="222"/>
      <c r="N62" s="222"/>
    </row>
    <row r="63" spans="1:14" s="247" customFormat="1" ht="192" customHeight="1" x14ac:dyDescent="0.2">
      <c r="A63" s="242">
        <v>51</v>
      </c>
      <c r="B63" s="248">
        <f>'Kertas Kerja'!A611</f>
        <v>48</v>
      </c>
      <c r="C63" s="221" t="s">
        <v>661</v>
      </c>
      <c r="D63" s="254">
        <f>'Kertas Kerja'!H611</f>
        <v>0</v>
      </c>
      <c r="E63" s="252">
        <f>'Kertas Kerja'!E617</f>
        <v>0</v>
      </c>
      <c r="G63" s="246">
        <v>1.5333333333332999</v>
      </c>
      <c r="H63" s="246">
        <f t="shared" si="1"/>
        <v>0</v>
      </c>
      <c r="I63" s="222"/>
      <c r="J63" s="222"/>
      <c r="K63" s="222"/>
      <c r="L63" s="222"/>
      <c r="M63" s="222"/>
      <c r="N63" s="222"/>
    </row>
    <row r="64" spans="1:14" s="247" customFormat="1" ht="72" customHeight="1" x14ac:dyDescent="0.2">
      <c r="A64" s="242">
        <v>52</v>
      </c>
      <c r="B64" s="248">
        <f>'Kertas Kerja'!A619</f>
        <v>49</v>
      </c>
      <c r="C64" s="221" t="s">
        <v>662</v>
      </c>
      <c r="D64" s="254">
        <f>'Kertas Kerja'!H619</f>
        <v>0</v>
      </c>
      <c r="E64" s="252">
        <f>'Kertas Kerja'!E624</f>
        <v>3.333333333333333</v>
      </c>
      <c r="G64" s="246">
        <v>3.0666666666667002</v>
      </c>
      <c r="H64" s="246">
        <f t="shared" si="1"/>
        <v>10.222222222222333</v>
      </c>
      <c r="I64" s="222"/>
      <c r="J64" s="222"/>
      <c r="K64" s="222"/>
      <c r="L64" s="222"/>
      <c r="M64" s="222"/>
      <c r="N64" s="222"/>
    </row>
    <row r="65" spans="1:14" s="247" customFormat="1" ht="12" hidden="1" customHeight="1" x14ac:dyDescent="0.2">
      <c r="A65" s="242">
        <v>53</v>
      </c>
      <c r="B65" s="248">
        <f>'Kertas Kerja'!A626</f>
        <v>0</v>
      </c>
      <c r="C65" s="224"/>
      <c r="D65" s="254">
        <f>'Kertas Kerja'!H626</f>
        <v>0</v>
      </c>
      <c r="E65" s="252">
        <f>'Kertas Kerja'!E631</f>
        <v>0</v>
      </c>
      <c r="G65" s="246"/>
      <c r="H65" s="246">
        <f t="shared" si="1"/>
        <v>0</v>
      </c>
      <c r="I65" s="222"/>
      <c r="J65" s="222"/>
      <c r="K65" s="222"/>
      <c r="L65" s="222"/>
      <c r="M65" s="222"/>
      <c r="N65" s="222"/>
    </row>
    <row r="66" spans="1:14" s="247" customFormat="1" ht="192" customHeight="1" x14ac:dyDescent="0.2">
      <c r="A66" s="242">
        <v>54</v>
      </c>
      <c r="B66" s="248">
        <f>'Kertas Kerja'!A633</f>
        <v>50</v>
      </c>
      <c r="C66" s="221" t="s">
        <v>663</v>
      </c>
      <c r="D66" s="254">
        <f>'Kertas Kerja'!H633</f>
        <v>0</v>
      </c>
      <c r="E66" s="252">
        <f>'Kertas Kerja'!E639</f>
        <v>0</v>
      </c>
      <c r="G66" s="246">
        <v>0.51111111111110996</v>
      </c>
      <c r="H66" s="246">
        <f t="shared" si="1"/>
        <v>0</v>
      </c>
      <c r="I66" s="222"/>
      <c r="J66" s="222"/>
      <c r="K66" s="222"/>
      <c r="L66" s="222"/>
      <c r="M66" s="222"/>
      <c r="N66" s="222"/>
    </row>
    <row r="67" spans="1:14" s="247" customFormat="1" ht="60" customHeight="1" x14ac:dyDescent="0.2">
      <c r="A67" s="242">
        <v>55</v>
      </c>
      <c r="B67" s="248">
        <f>'Kertas Kerja'!A641</f>
        <v>51</v>
      </c>
      <c r="C67" s="221" t="s">
        <v>664</v>
      </c>
      <c r="D67" s="254">
        <f>'Kertas Kerja'!H641</f>
        <v>0</v>
      </c>
      <c r="E67" s="252">
        <f>'Kertas Kerja'!E646</f>
        <v>3.333333333333333</v>
      </c>
      <c r="G67" s="246">
        <v>1.0222222222221999</v>
      </c>
      <c r="H67" s="246">
        <f t="shared" si="1"/>
        <v>3.4074074074073328</v>
      </c>
      <c r="I67" s="222"/>
      <c r="J67" s="222"/>
      <c r="K67" s="222"/>
      <c r="L67" s="222"/>
      <c r="M67" s="222"/>
      <c r="N67" s="222"/>
    </row>
    <row r="68" spans="1:14" s="247" customFormat="1" ht="132" customHeight="1" x14ac:dyDescent="0.2">
      <c r="A68" s="242">
        <v>56</v>
      </c>
      <c r="B68" s="248">
        <f>'Kertas Kerja'!A648</f>
        <v>52</v>
      </c>
      <c r="C68" s="221" t="s">
        <v>665</v>
      </c>
      <c r="D68" s="254">
        <f>'Kertas Kerja'!H648</f>
        <v>0</v>
      </c>
      <c r="E68" s="252">
        <f>'Kertas Kerja'!E654</f>
        <v>1</v>
      </c>
      <c r="G68" s="246">
        <v>1.9166666666667</v>
      </c>
      <c r="H68" s="246">
        <f t="shared" si="1"/>
        <v>1.9166666666667</v>
      </c>
      <c r="I68" s="222"/>
      <c r="J68" s="222"/>
      <c r="K68" s="222"/>
      <c r="L68" s="222"/>
      <c r="M68" s="222"/>
      <c r="N68" s="222"/>
    </row>
    <row r="69" spans="1:14" s="247" customFormat="1" ht="24" customHeight="1" x14ac:dyDescent="0.2">
      <c r="A69" s="242">
        <v>57</v>
      </c>
      <c r="B69" s="248">
        <f>'Kertas Kerja'!A656</f>
        <v>53</v>
      </c>
      <c r="C69" s="221" t="s">
        <v>462</v>
      </c>
      <c r="D69" s="254">
        <f>'Kertas Kerja'!H656</f>
        <v>0</v>
      </c>
      <c r="E69" s="252">
        <f>'Kertas Kerja'!E666</f>
        <v>4</v>
      </c>
      <c r="G69" s="246">
        <v>1.9166666666667</v>
      </c>
      <c r="H69" s="246">
        <f t="shared" si="1"/>
        <v>7.6666666666668002</v>
      </c>
      <c r="I69" s="222"/>
      <c r="J69" s="222"/>
      <c r="K69" s="222"/>
      <c r="L69" s="222"/>
      <c r="M69" s="222"/>
      <c r="N69" s="222"/>
    </row>
    <row r="70" spans="1:14" s="247" customFormat="1" ht="36" customHeight="1" x14ac:dyDescent="0.2">
      <c r="A70" s="242">
        <v>58</v>
      </c>
      <c r="B70" s="248">
        <f>'Kertas Kerja'!A668</f>
        <v>54</v>
      </c>
      <c r="C70" s="221" t="s">
        <v>473</v>
      </c>
      <c r="D70" s="254">
        <f>'Kertas Kerja'!H668</f>
        <v>0</v>
      </c>
      <c r="E70" s="252">
        <f>'Kertas Kerja'!E684</f>
        <v>0</v>
      </c>
      <c r="G70" s="246">
        <v>2.875</v>
      </c>
      <c r="H70" s="246">
        <f t="shared" si="1"/>
        <v>0</v>
      </c>
      <c r="I70" s="222"/>
      <c r="J70" s="222"/>
      <c r="K70" s="222"/>
      <c r="L70" s="222"/>
      <c r="M70" s="222"/>
      <c r="N70" s="222"/>
    </row>
    <row r="71" spans="1:14" s="247" customFormat="1" ht="36" customHeight="1" x14ac:dyDescent="0.2">
      <c r="A71" s="242">
        <v>59</v>
      </c>
      <c r="B71" s="248">
        <f>'Kertas Kerja'!A686</f>
        <v>55</v>
      </c>
      <c r="C71" s="221" t="s">
        <v>482</v>
      </c>
      <c r="D71" s="254">
        <f>'Kertas Kerja'!H686</f>
        <v>0</v>
      </c>
      <c r="E71" s="252">
        <f>'Kertas Kerja'!E702</f>
        <v>0.68807339449541283</v>
      </c>
      <c r="G71" s="246">
        <v>0.95833333333333004</v>
      </c>
      <c r="H71" s="246">
        <f t="shared" si="1"/>
        <v>0.65940366972476838</v>
      </c>
      <c r="I71" s="222"/>
      <c r="J71" s="222"/>
      <c r="K71" s="222"/>
      <c r="L71" s="222"/>
      <c r="M71" s="222"/>
      <c r="N71" s="222"/>
    </row>
    <row r="72" spans="1:14" s="247" customFormat="1" ht="24" customHeight="1" x14ac:dyDescent="0.2">
      <c r="A72" s="242">
        <v>60</v>
      </c>
      <c r="B72" s="248">
        <f>'Kertas Kerja'!A704</f>
        <v>56</v>
      </c>
      <c r="C72" s="221" t="s">
        <v>486</v>
      </c>
      <c r="D72" s="251">
        <f>'Kertas Kerja'!H704</f>
        <v>0</v>
      </c>
      <c r="E72" s="246">
        <f>'Kertas Kerja'!E716</f>
        <v>1.5999999999999996</v>
      </c>
      <c r="G72" s="246">
        <v>1.9166666666667</v>
      </c>
      <c r="H72" s="246">
        <f t="shared" si="1"/>
        <v>3.0666666666667193</v>
      </c>
      <c r="I72" s="222"/>
      <c r="J72" s="222"/>
      <c r="K72" s="222"/>
      <c r="L72" s="222"/>
      <c r="M72" s="222"/>
      <c r="N72" s="222"/>
    </row>
    <row r="73" spans="1:14" s="247" customFormat="1" ht="24" customHeight="1" x14ac:dyDescent="0.2">
      <c r="A73" s="242">
        <v>61</v>
      </c>
      <c r="B73" s="248">
        <f>'Kertas Kerja'!A718</f>
        <v>57</v>
      </c>
      <c r="C73" s="221" t="s">
        <v>493</v>
      </c>
      <c r="D73" s="251">
        <f>'Kertas Kerja'!H718</f>
        <v>0</v>
      </c>
      <c r="E73" s="246">
        <f>'Kertas Kerja'!E731</f>
        <v>1.1573770491803279</v>
      </c>
      <c r="G73" s="246">
        <v>1.9166666666667</v>
      </c>
      <c r="H73" s="246">
        <f t="shared" si="1"/>
        <v>2.2183060109290005</v>
      </c>
      <c r="I73" s="222"/>
      <c r="J73" s="222"/>
      <c r="K73" s="222"/>
      <c r="L73" s="222"/>
      <c r="M73" s="222"/>
      <c r="N73" s="222"/>
    </row>
    <row r="74" spans="1:14" s="247" customFormat="1" ht="24" customHeight="1" x14ac:dyDescent="0.2">
      <c r="A74" s="242">
        <v>62</v>
      </c>
      <c r="B74" s="248">
        <f>'Kertas Kerja'!A733</f>
        <v>58</v>
      </c>
      <c r="C74" s="221" t="s">
        <v>503</v>
      </c>
      <c r="D74" s="251">
        <f>'Kertas Kerja'!H733</f>
        <v>0</v>
      </c>
      <c r="E74" s="246">
        <f>'Kertas Kerja'!E743</f>
        <v>0</v>
      </c>
      <c r="G74" s="250">
        <v>1.9166666666667</v>
      </c>
      <c r="H74" s="246">
        <f t="shared" si="1"/>
        <v>0</v>
      </c>
      <c r="I74" s="222"/>
      <c r="J74" s="222"/>
      <c r="K74" s="222"/>
      <c r="L74" s="222"/>
      <c r="M74" s="222"/>
      <c r="N74" s="222"/>
    </row>
    <row r="75" spans="1:14" s="247" customFormat="1" ht="144" customHeight="1" x14ac:dyDescent="0.2">
      <c r="A75" s="242">
        <v>63</v>
      </c>
      <c r="B75" s="248">
        <f>'Kertas Kerja'!A745</f>
        <v>59</v>
      </c>
      <c r="C75" s="221" t="s">
        <v>666</v>
      </c>
      <c r="D75" s="251">
        <f>'Kertas Kerja'!H745</f>
        <v>0</v>
      </c>
      <c r="E75" s="246">
        <f>'Kertas Kerja'!E751</f>
        <v>0</v>
      </c>
      <c r="G75" s="250">
        <v>2.875</v>
      </c>
      <c r="H75" s="246">
        <f t="shared" si="1"/>
        <v>0</v>
      </c>
      <c r="I75" s="222"/>
      <c r="J75" s="222"/>
      <c r="K75" s="222"/>
      <c r="L75" s="222"/>
      <c r="M75" s="222"/>
      <c r="N75" s="222"/>
    </row>
    <row r="76" spans="1:14" s="247" customFormat="1" ht="36" customHeight="1" x14ac:dyDescent="0.2">
      <c r="A76" s="242">
        <v>64</v>
      </c>
      <c r="B76" s="248">
        <f>'Kertas Kerja'!A753</f>
        <v>60</v>
      </c>
      <c r="C76" s="221" t="s">
        <v>667</v>
      </c>
      <c r="D76" s="251">
        <f>'Kertas Kerja'!H753</f>
        <v>0</v>
      </c>
      <c r="E76" s="246">
        <f>'Kertas Kerja'!E781</f>
        <v>2</v>
      </c>
      <c r="G76" s="250">
        <v>2.875</v>
      </c>
      <c r="H76" s="246">
        <f t="shared" si="1"/>
        <v>5.75</v>
      </c>
      <c r="I76" s="222"/>
      <c r="J76" s="222"/>
      <c r="K76" s="222" t="s">
        <v>643</v>
      </c>
      <c r="L76" s="222" t="str">
        <f>IF(E76&gt;=3.5," TERPENUHI","TIDAK TERPENUHI")</f>
        <v>TIDAK TERPENUHI</v>
      </c>
      <c r="M76" s="222" t="s">
        <v>644</v>
      </c>
      <c r="N76" s="222" t="str">
        <f>IF(E76&gt;=3," TERPENUHI","TIDAK TERPENUHI")</f>
        <v>TIDAK TERPENUHI</v>
      </c>
    </row>
    <row r="77" spans="1:14" s="247" customFormat="1" ht="36" customHeight="1" x14ac:dyDescent="0.2">
      <c r="A77" s="242">
        <v>65</v>
      </c>
      <c r="B77" s="248">
        <f>'Kertas Kerja'!A783</f>
        <v>61</v>
      </c>
      <c r="C77" s="221" t="s">
        <v>535</v>
      </c>
      <c r="D77" s="251">
        <f>'Kertas Kerja'!H783</f>
        <v>0</v>
      </c>
      <c r="E77" s="246">
        <f>'Kertas Kerja'!E809</f>
        <v>2.9473684210526314</v>
      </c>
      <c r="G77" s="250">
        <v>1.9166666666667</v>
      </c>
      <c r="H77" s="246">
        <f t="shared" ref="H77:H87" si="2">E77*G77</f>
        <v>5.6491228070176422</v>
      </c>
      <c r="I77" s="222"/>
      <c r="J77" s="222"/>
      <c r="K77" s="222" t="s">
        <v>643</v>
      </c>
      <c r="L77" s="222" t="str">
        <f>IF(E77&gt;=3.5," TERPENUHI","TIDAK TERPENUHI")</f>
        <v>TIDAK TERPENUHI</v>
      </c>
      <c r="M77" s="222" t="s">
        <v>644</v>
      </c>
      <c r="N77" s="222" t="str">
        <f>IF(E77&gt;=3," TERPENUHI","TIDAK TERPENUHI")</f>
        <v>TIDAK TERPENUHI</v>
      </c>
    </row>
    <row r="78" spans="1:14" s="247" customFormat="1" ht="36" customHeight="1" x14ac:dyDescent="0.2">
      <c r="A78" s="242">
        <v>66</v>
      </c>
      <c r="B78" s="248">
        <f>'Kertas Kerja'!A811</f>
        <v>62</v>
      </c>
      <c r="C78" s="221" t="s">
        <v>547</v>
      </c>
      <c r="D78" s="251">
        <f>'Kertas Kerja'!H811</f>
        <v>0</v>
      </c>
      <c r="E78" s="246">
        <f>'Kertas Kerja'!E843</f>
        <v>0</v>
      </c>
      <c r="G78" s="246">
        <v>1.9166666666667</v>
      </c>
      <c r="H78" s="246">
        <f t="shared" si="2"/>
        <v>0</v>
      </c>
      <c r="I78" s="222"/>
      <c r="J78" s="222"/>
      <c r="K78" s="222"/>
      <c r="L78" s="222"/>
      <c r="M78" s="222"/>
      <c r="N78" s="222"/>
    </row>
    <row r="79" spans="1:14" s="247" customFormat="1" ht="24" customHeight="1" x14ac:dyDescent="0.2">
      <c r="A79" s="242">
        <v>67</v>
      </c>
      <c r="B79" s="248">
        <f>'Kertas Kerja'!A845</f>
        <v>63</v>
      </c>
      <c r="C79" s="221" t="s">
        <v>562</v>
      </c>
      <c r="D79" s="251">
        <f>'Kertas Kerja'!H845</f>
        <v>0</v>
      </c>
      <c r="E79" s="246">
        <f>'Kertas Kerja'!E892</f>
        <v>0</v>
      </c>
      <c r="G79" s="246">
        <v>3.8333333333333002</v>
      </c>
      <c r="H79" s="246">
        <f t="shared" si="2"/>
        <v>0</v>
      </c>
      <c r="I79" s="222"/>
      <c r="J79" s="222"/>
      <c r="K79" s="222"/>
      <c r="L79" s="222"/>
      <c r="M79" s="222"/>
      <c r="N79" s="222"/>
    </row>
    <row r="80" spans="1:14" s="247" customFormat="1" ht="96" customHeight="1" x14ac:dyDescent="0.2">
      <c r="A80" s="242">
        <v>68</v>
      </c>
      <c r="B80" s="248">
        <f>'Kertas Kerja'!A894</f>
        <v>64</v>
      </c>
      <c r="C80" s="221" t="s">
        <v>668</v>
      </c>
      <c r="D80" s="251">
        <f>'Kertas Kerja'!H894</f>
        <v>0</v>
      </c>
      <c r="E80" s="246">
        <f>'Kertas Kerja'!E917</f>
        <v>2.6422018348623855</v>
      </c>
      <c r="G80" s="246">
        <v>2.875</v>
      </c>
      <c r="H80" s="246">
        <f t="shared" si="2"/>
        <v>7.5963302752293584</v>
      </c>
      <c r="I80" s="222"/>
      <c r="J80" s="222"/>
      <c r="K80" s="222"/>
      <c r="L80" s="222"/>
      <c r="M80" s="222"/>
      <c r="N80" s="222"/>
    </row>
    <row r="81" spans="1:14" s="247" customFormat="1" ht="12" hidden="1" customHeight="1" x14ac:dyDescent="0.2">
      <c r="A81" s="242">
        <v>69</v>
      </c>
      <c r="B81" s="248">
        <f>'Kertas Kerja'!A919</f>
        <v>0</v>
      </c>
      <c r="C81" s="224"/>
      <c r="D81" s="251">
        <f>'Kertas Kerja'!H919</f>
        <v>0</v>
      </c>
      <c r="E81" s="246">
        <f>'Kertas Kerja'!E922</f>
        <v>0</v>
      </c>
      <c r="G81" s="246"/>
      <c r="H81" s="246">
        <f t="shared" si="2"/>
        <v>0</v>
      </c>
      <c r="I81" s="222"/>
      <c r="J81" s="222"/>
      <c r="K81" s="222"/>
      <c r="L81" s="222"/>
      <c r="M81" s="222"/>
      <c r="N81" s="222"/>
    </row>
    <row r="82" spans="1:14" s="247" customFormat="1" ht="12" hidden="1" customHeight="1" x14ac:dyDescent="0.2">
      <c r="A82" s="242">
        <v>70</v>
      </c>
      <c r="B82" s="248">
        <f>'Kertas Kerja'!A924</f>
        <v>0</v>
      </c>
      <c r="C82" s="224"/>
      <c r="D82" s="251">
        <f>'Kertas Kerja'!H924</f>
        <v>0</v>
      </c>
      <c r="E82" s="246">
        <f>'Kertas Kerja'!E927</f>
        <v>0</v>
      </c>
      <c r="G82" s="246"/>
      <c r="H82" s="246">
        <f t="shared" si="2"/>
        <v>0</v>
      </c>
      <c r="I82" s="222"/>
      <c r="J82" s="222"/>
      <c r="K82" s="222"/>
      <c r="L82" s="222"/>
      <c r="M82" s="222"/>
      <c r="N82" s="222"/>
    </row>
    <row r="83" spans="1:14" s="247" customFormat="1" ht="60" customHeight="1" x14ac:dyDescent="0.2">
      <c r="A83" s="242">
        <v>71</v>
      </c>
      <c r="B83" s="248">
        <f>'Kertas Kerja'!A929</f>
        <v>65</v>
      </c>
      <c r="C83" s="221" t="s">
        <v>580</v>
      </c>
      <c r="D83" s="251">
        <f>'Kertas Kerja'!H929</f>
        <v>0</v>
      </c>
      <c r="E83" s="246">
        <f>'Kertas Kerja'!E936</f>
        <v>2</v>
      </c>
      <c r="G83" s="246">
        <v>0.95833333333333004</v>
      </c>
      <c r="H83" s="246">
        <f t="shared" si="2"/>
        <v>1.9166666666666601</v>
      </c>
      <c r="I83" s="222"/>
      <c r="J83" s="222"/>
      <c r="K83" s="222"/>
      <c r="L83" s="222"/>
      <c r="M83" s="222"/>
      <c r="N83" s="222"/>
    </row>
    <row r="84" spans="1:14" s="247" customFormat="1" ht="108" customHeight="1" x14ac:dyDescent="0.2">
      <c r="A84" s="242">
        <v>72</v>
      </c>
      <c r="B84" s="248">
        <f>'Kertas Kerja'!A938</f>
        <v>66</v>
      </c>
      <c r="C84" s="225" t="s">
        <v>669</v>
      </c>
      <c r="D84" s="251">
        <f>'Kertas Kerja'!H938</f>
        <v>0</v>
      </c>
      <c r="E84" s="246">
        <f>'Kertas Kerja'!E944</f>
        <v>0</v>
      </c>
      <c r="G84" s="246">
        <v>1.5</v>
      </c>
      <c r="H84" s="246">
        <f t="shared" si="2"/>
        <v>0</v>
      </c>
      <c r="I84" s="222"/>
      <c r="J84" s="222"/>
      <c r="K84" s="222"/>
      <c r="L84" s="222"/>
      <c r="M84" s="222"/>
      <c r="N84" s="222"/>
    </row>
    <row r="85" spans="1:14" s="247" customFormat="1" ht="72" customHeight="1" x14ac:dyDescent="0.2">
      <c r="A85" s="242">
        <v>73</v>
      </c>
      <c r="B85" s="248">
        <f>'Kertas Kerja'!A946</f>
        <v>67</v>
      </c>
      <c r="C85" s="225" t="s">
        <v>670</v>
      </c>
      <c r="D85" s="251">
        <f>'Kertas Kerja'!H946</f>
        <v>0</v>
      </c>
      <c r="E85" s="246">
        <f>'Kertas Kerja'!E952</f>
        <v>0</v>
      </c>
      <c r="G85" s="246">
        <v>2</v>
      </c>
      <c r="H85" s="246">
        <f t="shared" si="2"/>
        <v>0</v>
      </c>
      <c r="I85" s="222"/>
      <c r="J85" s="222"/>
      <c r="K85" s="222"/>
      <c r="L85" s="222"/>
      <c r="M85" s="222"/>
      <c r="N85" s="222"/>
    </row>
    <row r="86" spans="1:14" s="247" customFormat="1" ht="48" customHeight="1" x14ac:dyDescent="0.2">
      <c r="A86" s="242">
        <v>74</v>
      </c>
      <c r="B86" s="248">
        <f>'Kertas Kerja'!A954</f>
        <v>68</v>
      </c>
      <c r="C86" s="225" t="s">
        <v>671</v>
      </c>
      <c r="D86" s="251">
        <f>'Kertas Kerja'!H954</f>
        <v>0</v>
      </c>
      <c r="E86" s="246">
        <f>'Kertas Kerja'!E960</f>
        <v>0</v>
      </c>
      <c r="G86" s="246">
        <v>1.5</v>
      </c>
      <c r="H86" s="246">
        <f t="shared" si="2"/>
        <v>0</v>
      </c>
      <c r="I86" s="222"/>
      <c r="J86" s="222"/>
      <c r="K86" s="222"/>
      <c r="L86" s="222"/>
      <c r="M86" s="222"/>
      <c r="N86" s="222"/>
    </row>
    <row r="87" spans="1:14" s="247" customFormat="1" ht="72" customHeight="1" x14ac:dyDescent="0.2">
      <c r="A87" s="242">
        <v>75</v>
      </c>
      <c r="B87" s="248">
        <f>'Kertas Kerja'!A962</f>
        <v>69</v>
      </c>
      <c r="C87" s="226" t="s">
        <v>672</v>
      </c>
      <c r="D87" s="251">
        <f>'Kertas Kerja'!H962</f>
        <v>0</v>
      </c>
      <c r="E87" s="246">
        <f>'Kertas Kerja'!E968</f>
        <v>0</v>
      </c>
      <c r="G87" s="246">
        <v>1</v>
      </c>
      <c r="H87" s="246">
        <f t="shared" si="2"/>
        <v>0</v>
      </c>
      <c r="I87" s="222"/>
      <c r="J87" s="222"/>
      <c r="K87" s="222"/>
      <c r="L87" s="222"/>
      <c r="M87" s="222"/>
      <c r="N87" s="222"/>
    </row>
    <row r="88" spans="1:14" s="227" customFormat="1" ht="14.45" customHeight="1" x14ac:dyDescent="0.25">
      <c r="A88" s="256"/>
      <c r="B88" s="256"/>
      <c r="C88" s="230"/>
      <c r="D88" s="257"/>
      <c r="E88" s="258"/>
      <c r="I88" s="230"/>
      <c r="J88" s="230"/>
      <c r="K88" s="230"/>
    </row>
    <row r="89" spans="1:14" s="227" customFormat="1" ht="14.45" customHeight="1" x14ac:dyDescent="0.25">
      <c r="A89" s="256"/>
      <c r="B89" s="256"/>
      <c r="C89" s="230"/>
      <c r="D89" s="259" t="str">
        <f>Menu!P22&amp;", "&amp;TEXT(Menu!P24,"dd mmmm yyyy")</f>
        <v>, 00 Januari 1900</v>
      </c>
      <c r="E89" s="258"/>
      <c r="I89" s="230"/>
      <c r="J89" s="230"/>
      <c r="K89" s="230"/>
    </row>
    <row r="90" spans="1:14" s="227" customFormat="1" ht="14.45" customHeight="1" x14ac:dyDescent="0.25">
      <c r="A90" s="256"/>
      <c r="B90" s="256"/>
      <c r="C90" s="230"/>
      <c r="D90" s="259"/>
      <c r="E90" s="258"/>
      <c r="I90" s="230"/>
      <c r="J90" s="230"/>
      <c r="K90" s="230"/>
    </row>
    <row r="91" spans="1:14" s="227" customFormat="1" ht="14.45" customHeight="1" x14ac:dyDescent="0.25">
      <c r="A91" s="256"/>
      <c r="B91" s="256"/>
      <c r="C91" s="230"/>
      <c r="D91" s="257"/>
      <c r="E91" s="258"/>
      <c r="I91" s="230"/>
      <c r="J91" s="230"/>
      <c r="K91" s="230"/>
    </row>
    <row r="92" spans="1:14" s="227" customFormat="1" ht="14.45" customHeight="1" x14ac:dyDescent="0.25">
      <c r="A92" s="256"/>
      <c r="B92" s="256"/>
      <c r="C92" s="230"/>
      <c r="D92" s="29"/>
      <c r="E92" s="258"/>
      <c r="I92" s="230"/>
      <c r="J92" s="230"/>
      <c r="K92" s="230"/>
    </row>
    <row r="93" spans="1:14" s="227" customFormat="1" ht="14.45" customHeight="1" x14ac:dyDescent="0.25">
      <c r="A93" s="256"/>
      <c r="B93" s="256"/>
      <c r="C93" s="230"/>
      <c r="D93" s="260" t="s">
        <v>673</v>
      </c>
      <c r="E93" s="258"/>
      <c r="I93" s="230"/>
      <c r="J93" s="230"/>
      <c r="K93" s="230"/>
    </row>
    <row r="94" spans="1:14" s="227" customFormat="1" ht="14.45" customHeight="1" x14ac:dyDescent="0.25">
      <c r="A94" s="256"/>
      <c r="B94" s="256"/>
      <c r="C94" s="230"/>
      <c r="D94" s="261"/>
      <c r="E94" s="258"/>
      <c r="I94" s="230"/>
      <c r="J94" s="230"/>
      <c r="K94" s="230"/>
    </row>
    <row r="95" spans="1:14" s="227" customFormat="1" ht="14.45" customHeight="1" x14ac:dyDescent="0.25">
      <c r="A95" s="256"/>
      <c r="B95" s="256"/>
      <c r="C95" s="230"/>
      <c r="D95" s="261"/>
      <c r="E95" s="258"/>
      <c r="I95" s="230"/>
      <c r="J95" s="230"/>
      <c r="K95" s="230"/>
    </row>
    <row r="96" spans="1:14" s="227" customFormat="1" ht="14.45" customHeight="1" x14ac:dyDescent="0.25">
      <c r="A96" s="256"/>
      <c r="B96" s="256"/>
      <c r="C96" s="230"/>
      <c r="D96" s="260" t="str">
        <f>"( "&amp;Menu!P20&amp;" )"</f>
        <v>(  )</v>
      </c>
      <c r="E96" s="258"/>
      <c r="I96" s="230"/>
      <c r="J96" s="230"/>
      <c r="K96" s="230"/>
    </row>
  </sheetData>
  <sheetProtection formatCells="0" formatColumns="0" formatRows="0" insertColumns="0" insertRows="0" insertHyperlinks="0" deleteColumns="0" deleteRows="0" selectLockedCells="1" sort="0" autoFilter="0" pivotTables="0"/>
  <mergeCells count="15">
    <mergeCell ref="B5:E5"/>
    <mergeCell ref="G5:I6"/>
    <mergeCell ref="B1:E1"/>
    <mergeCell ref="G1:K1"/>
    <mergeCell ref="B2:E2"/>
    <mergeCell ref="G2:K2"/>
    <mergeCell ref="B3:E3"/>
    <mergeCell ref="G3:K3"/>
    <mergeCell ref="K5:L6"/>
    <mergeCell ref="K8:N8"/>
    <mergeCell ref="K9:N9"/>
    <mergeCell ref="K10:N10"/>
    <mergeCell ref="I12:J12"/>
    <mergeCell ref="K12:L12"/>
    <mergeCell ref="M12:N12"/>
  </mergeCells>
  <conditionalFormatting sqref="B13:B87">
    <cfRule type="cellIs" dxfId="39" priority="1" operator="equal">
      <formula>0</formula>
    </cfRule>
  </conditionalFormatting>
  <conditionalFormatting sqref="C66">
    <cfRule type="cellIs" dxfId="38" priority="2" operator="equal">
      <formula>"Tidak dinilai"</formula>
    </cfRule>
  </conditionalFormatting>
  <conditionalFormatting sqref="C24:C30">
    <cfRule type="cellIs" dxfId="37" priority="3" operator="equal">
      <formula>"Tidak dinilai"</formula>
    </cfRule>
  </conditionalFormatting>
  <conditionalFormatting sqref="C42:C43">
    <cfRule type="cellIs" dxfId="36" priority="4" operator="equal">
      <formula>"Tidak dinilai"</formula>
    </cfRule>
  </conditionalFormatting>
  <conditionalFormatting sqref="C45:C47">
    <cfRule type="cellIs" dxfId="35" priority="5" operator="equal">
      <formula>"Tidak dinilai"</formula>
    </cfRule>
  </conditionalFormatting>
  <conditionalFormatting sqref="C49:C64">
    <cfRule type="cellIs" dxfId="34" priority="6" operator="equal">
      <formula>"Tidak dinilai"</formula>
    </cfRule>
  </conditionalFormatting>
  <conditionalFormatting sqref="C81:C87">
    <cfRule type="cellIs" dxfId="33" priority="7" operator="equal">
      <formula>"Tidak dinilai"</formula>
    </cfRule>
  </conditionalFormatting>
  <conditionalFormatting sqref="C68:C71">
    <cfRule type="cellIs" dxfId="32" priority="8" operator="equal">
      <formula>"Tidak dinilai"</formula>
    </cfRule>
  </conditionalFormatting>
  <conditionalFormatting sqref="C73:C79">
    <cfRule type="cellIs" dxfId="31" priority="9" operator="equal">
      <formula>"Tidak dinilai"</formula>
    </cfRule>
  </conditionalFormatting>
  <conditionalFormatting sqref="C32:C39">
    <cfRule type="cellIs" dxfId="30" priority="10" operator="equal">
      <formula>"Tidak dinilai"</formula>
    </cfRule>
  </conditionalFormatting>
  <conditionalFormatting sqref="C13:C21">
    <cfRule type="cellIs" dxfId="29" priority="11" operator="equal">
      <formula>"Tidak dinilai"</formula>
    </cfRule>
  </conditionalFormatting>
  <conditionalFormatting sqref="C49">
    <cfRule type="cellIs" dxfId="28" priority="12" operator="equal">
      <formula>"Tidak dinilai"</formula>
    </cfRule>
  </conditionalFormatting>
  <conditionalFormatting sqref="C67">
    <cfRule type="cellIs" dxfId="27" priority="13" operator="equal">
      <formula>"Tidak dinilai"</formula>
    </cfRule>
  </conditionalFormatting>
  <conditionalFormatting sqref="C41">
    <cfRule type="cellIs" dxfId="26" priority="14" operator="equal">
      <formula>"Tidak dinilai"</formula>
    </cfRule>
  </conditionalFormatting>
  <conditionalFormatting sqref="C44">
    <cfRule type="cellIs" dxfId="25" priority="15" operator="equal">
      <formula>"Tidak dinilai"</formula>
    </cfRule>
  </conditionalFormatting>
  <conditionalFormatting sqref="C48">
    <cfRule type="cellIs" dxfId="24" priority="16" operator="equal">
      <formula>"Tidak dinilai"</formula>
    </cfRule>
  </conditionalFormatting>
  <conditionalFormatting sqref="C40">
    <cfRule type="cellIs" dxfId="23" priority="17" operator="equal">
      <formula>"Tidak dinilai"</formula>
    </cfRule>
  </conditionalFormatting>
  <conditionalFormatting sqref="G13:G87">
    <cfRule type="cellIs" dxfId="22" priority="18" operator="equal">
      <formula>"Tidak dinilai"</formula>
    </cfRule>
  </conditionalFormatting>
  <conditionalFormatting sqref="J24">
    <cfRule type="containsText" dxfId="21" priority="19" operator="containsText" text="TIDAK TERPENUHI">
      <formula>NOT(ISERROR(SEARCH("TIDAK TERPENUHI",J24)))</formula>
    </cfRule>
  </conditionalFormatting>
  <conditionalFormatting sqref="J24">
    <cfRule type="containsText" dxfId="20" priority="20" operator="containsText" text="TERPENUHI">
      <formula>NOT(ISERROR(SEARCH("TERPENUHI",J24)))</formula>
    </cfRule>
  </conditionalFormatting>
  <conditionalFormatting sqref="K8">
    <cfRule type="containsText" dxfId="19" priority="21" operator="containsText" text="TIDAK TERPENUHI">
      <formula>NOT(ISERROR(SEARCH("TIDAK TERPENUHI",K8)))</formula>
    </cfRule>
  </conditionalFormatting>
  <conditionalFormatting sqref="K8">
    <cfRule type="containsText" dxfId="18" priority="22" operator="containsText" text="TERPENUHI">
      <formula>NOT(ISERROR(SEARCH("TERPENUHI",K8)))</formula>
    </cfRule>
  </conditionalFormatting>
  <conditionalFormatting sqref="K9:K10">
    <cfRule type="containsText" dxfId="17" priority="23" operator="containsText" text="TIDAK TERPENUHI">
      <formula>NOT(ISERROR(SEARCH("TIDAK TERPENUHI",K9:K10)))</formula>
    </cfRule>
  </conditionalFormatting>
  <conditionalFormatting sqref="K9:K10">
    <cfRule type="containsText" dxfId="16" priority="24" operator="containsText" text="TERPENUHI">
      <formula>NOT(ISERROR(SEARCH("TERPENUHI",K9:K10)))</formula>
    </cfRule>
  </conditionalFormatting>
  <conditionalFormatting sqref="J29">
    <cfRule type="containsText" dxfId="15" priority="25" operator="containsText" text="TIDAK TERPENUHI">
      <formula>NOT(ISERROR(SEARCH("TIDAK TERPENUHI",J29)))</formula>
    </cfRule>
  </conditionalFormatting>
  <conditionalFormatting sqref="J29">
    <cfRule type="containsText" dxfId="14" priority="26" operator="containsText" text="TERPENUHI">
      <formula>NOT(ISERROR(SEARCH("TERPENUHI",J29)))</formula>
    </cfRule>
  </conditionalFormatting>
  <conditionalFormatting sqref="L30">
    <cfRule type="containsText" dxfId="13" priority="27" operator="containsText" text="TIDAK TERPENUHI">
      <formula>NOT(ISERROR(SEARCH("TIDAK TERPENUHI",L30)))</formula>
    </cfRule>
  </conditionalFormatting>
  <conditionalFormatting sqref="L30">
    <cfRule type="containsText" dxfId="12" priority="28" operator="containsText" text="TERPENUHI">
      <formula>NOT(ISERROR(SEARCH("TERPENUHI",L30)))</formula>
    </cfRule>
  </conditionalFormatting>
  <conditionalFormatting sqref="N30">
    <cfRule type="containsText" dxfId="11" priority="29" operator="containsText" text="TIDAK TERPENUHI">
      <formula>NOT(ISERROR(SEARCH("TIDAK TERPENUHI",N30)))</formula>
    </cfRule>
  </conditionalFormatting>
  <conditionalFormatting sqref="N30">
    <cfRule type="containsText" dxfId="10" priority="30" operator="containsText" text="TERPENUHI">
      <formula>NOT(ISERROR(SEARCH("TERPENUHI",N30)))</formula>
    </cfRule>
  </conditionalFormatting>
  <conditionalFormatting sqref="J53">
    <cfRule type="containsText" dxfId="9" priority="31" operator="containsText" text="TIDAK TERPENUHI">
      <formula>NOT(ISERROR(SEARCH("TIDAK TERPENUHI",J53)))</formula>
    </cfRule>
  </conditionalFormatting>
  <conditionalFormatting sqref="J53">
    <cfRule type="containsText" dxfId="8" priority="32" operator="containsText" text="TERPENUHI">
      <formula>NOT(ISERROR(SEARCH("TERPENUHI",J53)))</formula>
    </cfRule>
  </conditionalFormatting>
  <conditionalFormatting sqref="L32">
    <cfRule type="containsText" dxfId="7" priority="33" operator="containsText" text="TIDAK TERPENUHI">
      <formula>NOT(ISERROR(SEARCH("TIDAK TERPENUHI",L32)))</formula>
    </cfRule>
  </conditionalFormatting>
  <conditionalFormatting sqref="L32">
    <cfRule type="containsText" dxfId="6" priority="34" operator="containsText" text="TERPENUHI">
      <formula>NOT(ISERROR(SEARCH("TERPENUHI",L32)))</formula>
    </cfRule>
  </conditionalFormatting>
  <conditionalFormatting sqref="N32">
    <cfRule type="containsText" dxfId="5" priority="35" operator="containsText" text="TIDAK TERPENUHI">
      <formula>NOT(ISERROR(SEARCH("TIDAK TERPENUHI",N32)))</formula>
    </cfRule>
  </conditionalFormatting>
  <conditionalFormatting sqref="N32">
    <cfRule type="containsText" dxfId="4" priority="36" operator="containsText" text="TERPENUHI">
      <formula>NOT(ISERROR(SEARCH("TERPENUHI",N32)))</formula>
    </cfRule>
  </conditionalFormatting>
  <conditionalFormatting sqref="L76:L77">
    <cfRule type="containsText" dxfId="3" priority="37" operator="containsText" text="TIDAK TERPENUHI">
      <formula>NOT(ISERROR(SEARCH("TIDAK TERPENUHI",L76:L77)))</formula>
    </cfRule>
  </conditionalFormatting>
  <conditionalFormatting sqref="L76:L77">
    <cfRule type="containsText" dxfId="2" priority="38" operator="containsText" text="TERPENUHI">
      <formula>NOT(ISERROR(SEARCH("TERPENUHI",L76:L77)))</formula>
    </cfRule>
  </conditionalFormatting>
  <conditionalFormatting sqref="N76:N77">
    <cfRule type="containsText" dxfId="1" priority="39" operator="containsText" text="TIDAK TERPENUHI">
      <formula>NOT(ISERROR(SEARCH("TIDAK TERPENUHI",N76:N77)))</formula>
    </cfRule>
  </conditionalFormatting>
  <conditionalFormatting sqref="N76:N77">
    <cfRule type="containsText" dxfId="0" priority="40" operator="containsText" text="TERPENUHI">
      <formula>NOT(ISERROR(SEARCH("TERPENUHI",N76:N77)))</formula>
    </cfRule>
  </conditionalFormatting>
  <printOptions horizontalCentered="1"/>
  <pageMargins left="0.51181102362205" right="0.51181102362205" top="0.74803149606299002" bottom="0.51181102362205" header="0.31496062992126" footer="0.31496062992126"/>
  <pageSetup paperSize="9" fitToHeight="0" orientation="portrait"/>
  <headerFooter>
    <oddFooter>&amp;LForm AK - &amp;D@&amp;T&amp;CAkreditasi Program Studi&amp;R&amp;P/&amp;N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Menu</vt:lpstr>
      <vt:lpstr>Kertas Kerja</vt:lpstr>
      <vt:lpstr>Lap AK Individual</vt:lpstr>
      <vt:lpstr>'Lap AK Individual'!Print_Area</vt:lpstr>
      <vt:lpstr>'Lap AK Individual'!Print_Titles</vt:lpstr>
    </vt:vector>
  </TitlesOfParts>
  <Company>NTU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Radon Dhelika</dc:creator>
  <cp:lastModifiedBy>Lenovo 05</cp:lastModifiedBy>
  <dcterms:created xsi:type="dcterms:W3CDTF">2009-07-06T01:37:37Z</dcterms:created>
  <dcterms:modified xsi:type="dcterms:W3CDTF">2020-01-08T07:30:53Z</dcterms:modified>
</cp:coreProperties>
</file>