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510" yWindow="690" windowWidth="10215" windowHeight="6285" activeTab="4"/>
  </bookViews>
  <sheets>
    <sheet name="Menu" sheetId="1" r:id="rId1"/>
    <sheet name="Kertas Kerja" sheetId="2" r:id="rId2"/>
    <sheet name="Berita Acara AL" sheetId="3" r:id="rId3"/>
    <sheet name="Rekomendasi" sheetId="4" r:id="rId4"/>
    <sheet name="Nilai AL" sheetId="5" r:id="rId5"/>
  </sheets>
  <definedNames>
    <definedName name="_xlnm.Print_Area" localSheetId="2">'Berita Acara AL'!$A$1:$E$102</definedName>
    <definedName name="_xlnm.Print_Area" localSheetId="4">'Nilai AL'!$B$1:$K$84</definedName>
    <definedName name="_xlnm.Print_Area" localSheetId="3">Rekomendasi!$A$1:$C$56</definedName>
    <definedName name="_xlnm.Print_Titles" localSheetId="2">'Berita Acara AL'!$10:$10</definedName>
    <definedName name="_xlnm.Print_Titles" localSheetId="4">'Nilai AL'!$15:$15</definedName>
  </definedNames>
  <calcPr calcId="144525"/>
</workbook>
</file>

<file path=xl/calcChain.xml><?xml version="1.0" encoding="utf-8"?>
<calcChain xmlns="http://schemas.openxmlformats.org/spreadsheetml/2006/main">
  <c r="B84" i="5" l="1"/>
  <c r="B83" i="5"/>
  <c r="B82" i="5"/>
  <c r="B81" i="5"/>
  <c r="B80" i="5"/>
  <c r="B79" i="5"/>
  <c r="B78" i="5"/>
  <c r="B77" i="5"/>
  <c r="B76" i="5"/>
  <c r="B75" i="5"/>
  <c r="B74" i="5"/>
  <c r="B73" i="5"/>
  <c r="B72" i="5"/>
  <c r="B71"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F6" i="5"/>
  <c r="F5" i="5"/>
  <c r="F4" i="5"/>
  <c r="D95" i="3"/>
  <c r="D89" i="3"/>
  <c r="A83"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C8" i="3"/>
  <c r="C7" i="3"/>
  <c r="C6" i="3"/>
  <c r="C5" i="3"/>
  <c r="C4" i="3"/>
  <c r="E968" i="2"/>
  <c r="F962" i="2"/>
  <c r="F954" i="2"/>
  <c r="E960" i="2" s="1"/>
  <c r="E952" i="2"/>
  <c r="F946" i="2"/>
  <c r="F938" i="2"/>
  <c r="E944" i="2" s="1"/>
  <c r="E936" i="2"/>
  <c r="E934" i="2"/>
  <c r="E912" i="2"/>
  <c r="E917" i="2" s="1"/>
  <c r="E908" i="2"/>
  <c r="E915" i="2" s="1"/>
  <c r="E907" i="2"/>
  <c r="E914" i="2" s="1"/>
  <c r="E906" i="2"/>
  <c r="E913" i="2" s="1"/>
  <c r="E890" i="2"/>
  <c r="E885" i="2"/>
  <c r="E880" i="2"/>
  <c r="E875" i="2"/>
  <c r="E891" i="2" s="1"/>
  <c r="E870" i="2"/>
  <c r="E865" i="2"/>
  <c r="E860" i="2"/>
  <c r="E854" i="2"/>
  <c r="E853" i="2"/>
  <c r="E852" i="2"/>
  <c r="E838" i="2"/>
  <c r="E833" i="2"/>
  <c r="E832" i="2"/>
  <c r="E831" i="2"/>
  <c r="E820" i="2"/>
  <c r="E819" i="2"/>
  <c r="E818" i="2"/>
  <c r="E808" i="2"/>
  <c r="E807" i="2"/>
  <c r="E791" i="2"/>
  <c r="E809" i="2" s="1"/>
  <c r="E790" i="2"/>
  <c r="E792" i="2" s="1"/>
  <c r="E779" i="2"/>
  <c r="E780" i="2" s="1"/>
  <c r="D778" i="2"/>
  <c r="D777" i="2"/>
  <c r="D776" i="2"/>
  <c r="E762" i="2"/>
  <c r="E761" i="2"/>
  <c r="E781" i="2" s="1"/>
  <c r="E760" i="2"/>
  <c r="F745" i="2"/>
  <c r="E751" i="2" s="1"/>
  <c r="E743" i="2"/>
  <c r="E739" i="2"/>
  <c r="E727" i="2"/>
  <c r="E731" i="2" s="1"/>
  <c r="E716" i="2"/>
  <c r="E713" i="2"/>
  <c r="E701" i="2"/>
  <c r="E697" i="2"/>
  <c r="E693" i="2"/>
  <c r="E700" i="2" s="1"/>
  <c r="E692" i="2"/>
  <c r="E691" i="2"/>
  <c r="E699" i="2" s="1"/>
  <c r="E675" i="2"/>
  <c r="E674" i="2"/>
  <c r="E673" i="2"/>
  <c r="E666" i="2"/>
  <c r="E663" i="2"/>
  <c r="F648" i="2"/>
  <c r="E654" i="2" s="1"/>
  <c r="E646" i="2"/>
  <c r="E644" i="2"/>
  <c r="F633" i="2"/>
  <c r="E639" i="2" s="1"/>
  <c r="E624" i="2"/>
  <c r="E622" i="2"/>
  <c r="F611" i="2"/>
  <c r="E617" i="2" s="1"/>
  <c r="E608" i="2"/>
  <c r="F602" i="2"/>
  <c r="E597" i="2"/>
  <c r="E592" i="2"/>
  <c r="E587" i="2"/>
  <c r="E582" i="2"/>
  <c r="E598" i="2" s="1"/>
  <c r="E601" i="2" s="1"/>
  <c r="E609" i="2" s="1"/>
  <c r="E577" i="2"/>
  <c r="F564" i="2"/>
  <c r="E570" i="2" s="1"/>
  <c r="E562" i="2"/>
  <c r="F536" i="2"/>
  <c r="F530" i="2"/>
  <c r="F524" i="2"/>
  <c r="E554" i="2" s="1"/>
  <c r="E522" i="2"/>
  <c r="F516" i="2"/>
  <c r="E512" i="2"/>
  <c r="E514" i="2" s="1"/>
  <c r="F501" i="2"/>
  <c r="F495" i="2"/>
  <c r="F489" i="2"/>
  <c r="E507" i="2" s="1"/>
  <c r="F483" i="2"/>
  <c r="F477" i="2"/>
  <c r="F469" i="2"/>
  <c r="E475" i="2" s="1"/>
  <c r="F463" i="2"/>
  <c r="F455" i="2"/>
  <c r="E461" i="2" s="1"/>
  <c r="E453" i="2"/>
  <c r="F447" i="2"/>
  <c r="F441" i="2"/>
  <c r="F435" i="2"/>
  <c r="E433" i="2"/>
  <c r="F427" i="2"/>
  <c r="F419" i="2"/>
  <c r="E425" i="2" s="1"/>
  <c r="E417" i="2"/>
  <c r="F410" i="2"/>
  <c r="E406" i="2"/>
  <c r="E408" i="2" s="1"/>
  <c r="E401" i="2"/>
  <c r="E399" i="2"/>
  <c r="E392" i="2"/>
  <c r="E394" i="2" s="1"/>
  <c r="E387" i="2"/>
  <c r="F381" i="2"/>
  <c r="F375" i="2"/>
  <c r="E373" i="2"/>
  <c r="F366" i="2"/>
  <c r="E362" i="2"/>
  <c r="E364" i="2" s="1"/>
  <c r="E347" i="2"/>
  <c r="E345" i="2"/>
  <c r="E335" i="2"/>
  <c r="E340" i="2" s="1"/>
  <c r="E331" i="2"/>
  <c r="E338" i="2" s="1"/>
  <c r="E330" i="2"/>
  <c r="E329" i="2"/>
  <c r="E337" i="2" s="1"/>
  <c r="E314" i="2"/>
  <c r="E310" i="2"/>
  <c r="E306" i="2"/>
  <c r="E305" i="2"/>
  <c r="E304" i="2"/>
  <c r="E313" i="2" s="1"/>
  <c r="E288" i="2"/>
  <c r="E287" i="2"/>
  <c r="E286" i="2"/>
  <c r="E293" i="2" s="1"/>
  <c r="E277" i="2"/>
  <c r="E279" i="2" s="1"/>
  <c r="E262" i="2"/>
  <c r="E265" i="2" s="1"/>
  <c r="E252" i="2"/>
  <c r="E257" i="2" s="1"/>
  <c r="E244" i="2"/>
  <c r="E247" i="2" s="1"/>
  <c r="E237" i="2"/>
  <c r="E239" i="2" s="1"/>
  <c r="E233" i="2"/>
  <c r="E229" i="2"/>
  <c r="E228" i="2"/>
  <c r="E216" i="2"/>
  <c r="E218" i="2" s="1"/>
  <c r="E202" i="2"/>
  <c r="E200" i="2"/>
  <c r="E195" i="2"/>
  <c r="F183" i="2"/>
  <c r="E189" i="2" s="1"/>
  <c r="F177" i="2"/>
  <c r="E175" i="2"/>
  <c r="E172" i="2"/>
  <c r="E174" i="2" s="1"/>
  <c r="F162" i="2"/>
  <c r="E160" i="2"/>
  <c r="F154" i="2"/>
  <c r="E153" i="2"/>
  <c r="E151" i="2"/>
  <c r="F134" i="2"/>
  <c r="E140" i="2" s="1"/>
  <c r="E132" i="2"/>
  <c r="F126" i="2"/>
  <c r="F118" i="2"/>
  <c r="E124" i="2" s="1"/>
  <c r="E116" i="2"/>
  <c r="F110" i="2"/>
  <c r="E105" i="2"/>
  <c r="E104" i="2"/>
  <c r="E103" i="2"/>
  <c r="E102" i="2"/>
  <c r="E101" i="2"/>
  <c r="E107" i="2" s="1"/>
  <c r="E88" i="2"/>
  <c r="E93" i="2" s="1"/>
  <c r="F75" i="2"/>
  <c r="E81" i="2" s="1"/>
  <c r="F67" i="2"/>
  <c r="F61" i="2"/>
  <c r="E73" i="2" s="1"/>
  <c r="E59" i="2"/>
  <c r="F53" i="2"/>
  <c r="F47" i="2"/>
  <c r="F39" i="2"/>
  <c r="E45" i="2" s="1"/>
  <c r="F31" i="2"/>
  <c r="E37" i="2" s="1"/>
  <c r="F23" i="2"/>
  <c r="E29" i="2" s="1"/>
  <c r="F15" i="2"/>
  <c r="E21" i="2" s="1"/>
  <c r="F7" i="2"/>
  <c r="E13" i="2" s="1"/>
  <c r="C16" i="5" l="1"/>
  <c r="E16" i="5" s="1"/>
  <c r="G11" i="3"/>
  <c r="C20" i="5"/>
  <c r="E20" i="5" s="1"/>
  <c r="G15" i="3"/>
  <c r="G17" i="3"/>
  <c r="C22" i="5"/>
  <c r="E22" i="5" s="1"/>
  <c r="G31" i="3"/>
  <c r="C36" i="5"/>
  <c r="E36" i="5" s="1"/>
  <c r="C47" i="5"/>
  <c r="E47" i="5" s="1"/>
  <c r="G42" i="3"/>
  <c r="C59" i="5"/>
  <c r="E59" i="5" s="1"/>
  <c r="G54" i="3"/>
  <c r="C61" i="5"/>
  <c r="E61" i="5" s="1"/>
  <c r="G56" i="3"/>
  <c r="C63" i="5"/>
  <c r="E63" i="5" s="1"/>
  <c r="G58" i="3"/>
  <c r="C17" i="5"/>
  <c r="E17" i="5" s="1"/>
  <c r="G12" i="3"/>
  <c r="G32" i="3"/>
  <c r="C37" i="5"/>
  <c r="E37" i="5" s="1"/>
  <c r="G49" i="3"/>
  <c r="C54" i="5"/>
  <c r="E54" i="5" s="1"/>
  <c r="C57" i="5"/>
  <c r="E57" i="5" s="1"/>
  <c r="G52" i="3"/>
  <c r="G13" i="3"/>
  <c r="C18" i="5"/>
  <c r="E18" i="5" s="1"/>
  <c r="G18" i="3"/>
  <c r="C23" i="5"/>
  <c r="E23" i="5" s="1"/>
  <c r="G23" i="3"/>
  <c r="C28" i="5"/>
  <c r="E28" i="5" s="1"/>
  <c r="E367" i="2"/>
  <c r="C38" i="5"/>
  <c r="E38" i="5" s="1"/>
  <c r="G33" i="3"/>
  <c r="G39" i="3"/>
  <c r="C44" i="5"/>
  <c r="E44" i="5" s="1"/>
  <c r="C51" i="5"/>
  <c r="E51" i="5" s="1"/>
  <c r="G46" i="3"/>
  <c r="G51" i="3"/>
  <c r="C56" i="5"/>
  <c r="E56" i="5" s="1"/>
  <c r="G57" i="3"/>
  <c r="C62" i="5"/>
  <c r="E62" i="5" s="1"/>
  <c r="G14" i="3"/>
  <c r="C19" i="5"/>
  <c r="E19" i="5" s="1"/>
  <c r="E108" i="2"/>
  <c r="G21" i="3"/>
  <c r="C26" i="5"/>
  <c r="E26" i="5" s="1"/>
  <c r="C31" i="5"/>
  <c r="E31" i="5" s="1"/>
  <c r="G26" i="3"/>
  <c r="G29" i="3"/>
  <c r="C34" i="5"/>
  <c r="C35" i="5"/>
  <c r="E35" i="5" s="1"/>
  <c r="G30" i="3"/>
  <c r="C39" i="5"/>
  <c r="E39" i="5" s="1"/>
  <c r="G34" i="3"/>
  <c r="C42" i="5"/>
  <c r="E42" i="5" s="1"/>
  <c r="G37" i="3"/>
  <c r="G44" i="3"/>
  <c r="C49" i="5"/>
  <c r="E49" i="5" s="1"/>
  <c r="C55" i="5"/>
  <c r="E55" i="5" s="1"/>
  <c r="G50" i="3"/>
  <c r="C65" i="5"/>
  <c r="E65" i="5" s="1"/>
  <c r="G60" i="3"/>
  <c r="G71" i="3"/>
  <c r="C76" i="5"/>
  <c r="C46" i="5"/>
  <c r="E46" i="5" s="1"/>
  <c r="G41" i="3"/>
  <c r="G43" i="3"/>
  <c r="C48" i="5"/>
  <c r="E48" i="5" s="1"/>
  <c r="E294" i="2"/>
  <c r="E311" i="2"/>
  <c r="E315" i="2" s="1"/>
  <c r="E339" i="2"/>
  <c r="G40" i="3"/>
  <c r="C45" i="5"/>
  <c r="E45" i="5" s="1"/>
  <c r="C50" i="5"/>
  <c r="E50" i="5" s="1"/>
  <c r="G45" i="3"/>
  <c r="G47" i="3"/>
  <c r="C52" i="5"/>
  <c r="E52" i="5" s="1"/>
  <c r="G48" i="3"/>
  <c r="C53" i="5"/>
  <c r="G55" i="3"/>
  <c r="C60" i="5"/>
  <c r="E60" i="5" s="1"/>
  <c r="G59" i="3"/>
  <c r="C64" i="5"/>
  <c r="E64" i="5" s="1"/>
  <c r="G61" i="3"/>
  <c r="C66" i="5"/>
  <c r="E66" i="5" s="1"/>
  <c r="E682" i="2"/>
  <c r="E681" i="2"/>
  <c r="E680" i="2"/>
  <c r="C29" i="5"/>
  <c r="E29" i="5" s="1"/>
  <c r="G24" i="3"/>
  <c r="G25" i="3"/>
  <c r="C30" i="5"/>
  <c r="E30" i="5" s="1"/>
  <c r="E312" i="2"/>
  <c r="C75" i="5"/>
  <c r="G70" i="3"/>
  <c r="E892" i="2"/>
  <c r="G75" i="3"/>
  <c r="C80" i="5"/>
  <c r="E80" i="5" s="1"/>
  <c r="C83" i="5"/>
  <c r="E83" i="5" s="1"/>
  <c r="G78" i="3"/>
  <c r="G27" i="3"/>
  <c r="C32" i="5"/>
  <c r="E295" i="2"/>
  <c r="E336" i="2"/>
  <c r="C67" i="5"/>
  <c r="E67" i="5" s="1"/>
  <c r="G62" i="3"/>
  <c r="E683" i="2"/>
  <c r="C73" i="5"/>
  <c r="E73" i="5" s="1"/>
  <c r="G68" i="3"/>
  <c r="C79" i="5"/>
  <c r="E79" i="5" s="1"/>
  <c r="G74" i="3"/>
  <c r="C81" i="5"/>
  <c r="E81" i="5" s="1"/>
  <c r="G76" i="3"/>
  <c r="E292" i="2"/>
  <c r="E297" i="2" s="1"/>
  <c r="E296" i="2"/>
  <c r="E702" i="2"/>
  <c r="C71" i="5"/>
  <c r="E71" i="5" s="1"/>
  <c r="G66" i="3"/>
  <c r="G69" i="3"/>
  <c r="C74" i="5"/>
  <c r="E74" i="5" s="1"/>
  <c r="E841" i="2"/>
  <c r="E837" i="2"/>
  <c r="E842" i="2" s="1"/>
  <c r="E843" i="2" s="1"/>
  <c r="E840" i="2"/>
  <c r="E839" i="2"/>
  <c r="G79" i="3"/>
  <c r="C84" i="5"/>
  <c r="E84" i="5" s="1"/>
  <c r="C21" i="5"/>
  <c r="E21" i="5" s="1"/>
  <c r="G16" i="3"/>
  <c r="C25" i="5"/>
  <c r="E25" i="5" s="1"/>
  <c r="G20" i="3"/>
  <c r="G22" i="3"/>
  <c r="C27" i="5"/>
  <c r="G28" i="3"/>
  <c r="C33" i="5"/>
  <c r="C43" i="5"/>
  <c r="E43" i="5" s="1"/>
  <c r="G38" i="3"/>
  <c r="E411" i="2"/>
  <c r="G53" i="3"/>
  <c r="C58" i="5"/>
  <c r="E58" i="5" s="1"/>
  <c r="G63" i="3"/>
  <c r="C68" i="5"/>
  <c r="E68" i="5" s="1"/>
  <c r="E679" i="2"/>
  <c r="E684" i="2" s="1"/>
  <c r="G67" i="3"/>
  <c r="C72" i="5"/>
  <c r="E72" i="5" s="1"/>
  <c r="G77" i="3"/>
  <c r="C82" i="5"/>
  <c r="E82" i="5" s="1"/>
  <c r="E698" i="2"/>
  <c r="E916" i="2"/>
  <c r="C77" i="5" l="1"/>
  <c r="E77" i="5" s="1"/>
  <c r="G72" i="3"/>
  <c r="G36" i="3"/>
  <c r="C41" i="5"/>
  <c r="E41" i="5" s="1"/>
  <c r="C69" i="5"/>
  <c r="E69" i="5" s="1"/>
  <c r="G64" i="3"/>
  <c r="K33" i="5"/>
  <c r="I33" i="5"/>
  <c r="F12" i="5" s="1"/>
  <c r="E33" i="5"/>
  <c r="G35" i="3"/>
  <c r="C40" i="5"/>
  <c r="E40" i="5" s="1"/>
  <c r="G53" i="5"/>
  <c r="E53" i="5"/>
  <c r="G32" i="5"/>
  <c r="E32" i="5"/>
  <c r="K75" i="5"/>
  <c r="I75" i="5"/>
  <c r="E75" i="5"/>
  <c r="I34" i="5"/>
  <c r="E34" i="5"/>
  <c r="K34" i="5"/>
  <c r="G27" i="5"/>
  <c r="E27" i="5"/>
  <c r="G65" i="3"/>
  <c r="C70" i="5"/>
  <c r="E70" i="5" s="1"/>
  <c r="G73" i="3"/>
  <c r="C78" i="5"/>
  <c r="E78" i="5" s="1"/>
  <c r="K76" i="5"/>
  <c r="I76" i="5"/>
  <c r="E76" i="5"/>
  <c r="C24" i="5"/>
  <c r="E24" i="5" s="1"/>
  <c r="F8" i="5" s="1"/>
  <c r="G19" i="3"/>
  <c r="F13" i="5" l="1"/>
  <c r="F11" i="5"/>
</calcChain>
</file>

<file path=xl/sharedStrings.xml><?xml version="1.0" encoding="utf-8"?>
<sst xmlns="http://schemas.openxmlformats.org/spreadsheetml/2006/main" count="1440" uniqueCount="846">
  <si>
    <t>JANGAN DI HAPUS!: 17033-8d761ffea4d1999139264ed28c57038a</t>
  </si>
  <si>
    <t>AKREDITASI PROGRAM STUDI</t>
  </si>
  <si>
    <t>BADAN AKREDITASI NASIONAL - PERGURUAN TINGGI</t>
  </si>
  <si>
    <t>PROGRAM SARJANA</t>
  </si>
  <si>
    <t xml:space="preserve">Nama Perguruan Tinggi </t>
  </si>
  <si>
    <t xml:space="preserve">:   </t>
  </si>
  <si>
    <t>Nama Unit Pengelola</t>
  </si>
  <si>
    <t>Nama Program Studi</t>
  </si>
  <si>
    <t>Kode Panel</t>
  </si>
  <si>
    <t>T01-P007</t>
  </si>
  <si>
    <t>TS</t>
  </si>
  <si>
    <t>/</t>
  </si>
  <si>
    <t>TS = Tahun akademik penuh terakhir saat pengajuan usulan akreditasi</t>
  </si>
  <si>
    <t>ASESMEN LAPANGAN</t>
  </si>
  <si>
    <t>(Penilaian Tim)</t>
  </si>
  <si>
    <t>Nama Asesor</t>
  </si>
  <si>
    <t>Kota Penilaian</t>
  </si>
  <si>
    <t>ban-pt</t>
  </si>
  <si>
    <t>versi 1.0</t>
  </si>
  <si>
    <t>Tanggal Penilaian</t>
  </si>
  <si>
    <t>PENILAIAN AKREDITASI PROGRAM STUDI</t>
  </si>
  <si>
    <r>
      <rPr>
        <b/>
        <sz val="12"/>
        <color rgb="FFFFFFFF"/>
        <rFont val="Calibri"/>
      </rPr>
      <t xml:space="preserve">PETUNJUK PENGISIAN: SEL YANG DIISI HANYA YANG BERWARNA </t>
    </r>
    <r>
      <rPr>
        <b/>
        <sz val="12"/>
        <color rgb="FFFFFF00"/>
        <rFont val="Calibri"/>
      </rPr>
      <t>KUNING</t>
    </r>
  </si>
  <si>
    <t xml:space="preserve">NO. </t>
  </si>
  <si>
    <t>ELEMEN</t>
  </si>
  <si>
    <t>INDIKATOR DAN PENILAIAN</t>
  </si>
  <si>
    <t>SKOR</t>
  </si>
  <si>
    <t>DESKRIPSI PENILAIAN ASESOR BERDASARKAN DATA DAN INFORMASI DARI DOKUMEN LED DAN LKPS</t>
  </si>
  <si>
    <t>A</t>
  </si>
  <si>
    <r>
      <rPr>
        <b/>
        <sz val="11"/>
        <color rgb="FF000000"/>
        <rFont val="Calibri"/>
      </rPr>
      <t xml:space="preserve">Kondisi Eksternal
</t>
    </r>
    <r>
      <rPr>
        <sz val="11"/>
        <color rgb="FF000000"/>
        <rFont val="Calibri"/>
      </rPr>
      <t>Konsistensi dengan hasil analisis SWOT dan/atau analisis lain serta rencana pengembangan ke depan.</t>
    </r>
  </si>
  <si>
    <t>Unit Pengelola Program Studi (UPPS) mampu:
1) mengidentifikasi kondisi lingkungan dan industri yang relevan secara komprehensif dan strategis,
2) menetapkan posisi relatif program studi terhadap lingkungannya,
3) menggunakan hasil identifikasi dan posisi yang ditetapkan untuk melakukan analisis (SWOT/metoda analisis lain yang relevan) untuk pengembangan program studi, dan
4) merumuskan strategi pengembangan program studi yang berkesesuaian untuk menghasilkan program-program pengembangan alternatif yang tepat.</t>
  </si>
  <si>
    <t>Unit Pengelola Program Studi (UPPS) mampu:
1) mengidentifikasi kondisi lingkungan dan industri yang relevan secara komprehensif,
2) menetapkan posisi relatif program studi terhadap lingkungannya, dan 
3) menggunakan hasil identifikasi dan posisi yang ditetapkan untuk melakukan analisis (SWOT/metoda analisis lain yang relevan) untuk pengembangan program studi.</t>
  </si>
  <si>
    <t>Unit Pengelola Program Studi (UPPS) mampu:
1) mengidentifikasi kondisi lingkungan dan industri yang relevan, dan
2) menetapkan posisi relatif program studi terhadap lingkungannya.</t>
  </si>
  <si>
    <t>Unit Pengelola Program Studi (UPPS) kurang mampu:
1) mengidentifikasi kondisi lingkungan dan industri yang relevan, dan
2) menetapkan posisi relatif program studi terhadap lingkungannya.</t>
  </si>
  <si>
    <t>Unit Pengelola Program Studi (UPPS) tidak mampu:
1) mengidentifikasi kondisi lingkungan dan industri yang relevan, dan
2) menetapkan posisi relatif program studi terhadap lingkungannya.</t>
  </si>
  <si>
    <t>Skor</t>
  </si>
  <si>
    <t>B</t>
  </si>
  <si>
    <r>
      <rPr>
        <b/>
        <sz val="11"/>
        <color rgb="FF000000"/>
        <rFont val="Calibri"/>
      </rPr>
      <t xml:space="preserve">Profil Unit Pengelola Program Studi
</t>
    </r>
    <r>
      <rPr>
        <sz val="11"/>
        <color rgb="FF000000"/>
        <rFont val="Calibri"/>
      </rPr>
      <t>Keserbacakupan informasi dalam profil dan konsistensi antara profil dengan data dan informasi yang disampaikan pada masing-masing kriteria, serta menunjukkan iklim yang kondusif untuk pengembangan dan reputasi sebagai rujukan di bidang keilmuannya.</t>
    </r>
  </si>
  <si>
    <t>Profil UPPS: 
1) menunjukkan keserbacakupan informasi yang jelas dan konsisten dengan data dan informasi yang disampaikan pada masing-masing kriteria,
2) menggambarkan keselarasan dengan substansi keilmuan program studi. 
3) menunjukkan iklim yang kondusif untuk pengembangan keilmuan program studi.
4) menunjukkan reputasi sebagai rujukan di bidang keilmuannya.</t>
  </si>
  <si>
    <t>Profil UPPS:
1) menunjukkan keserbacakupan informasi yang jelas dan konsisten dengan data dan informasi yang disampaikan pada masing-masing kriteria,
2) menggambarkan keselarasan dengan substansi keilmuan program studi. 
3) menunjukkan iklim yang kondusif untuk pengembangan keilmuan program studi.</t>
  </si>
  <si>
    <t xml:space="preserve">Profil UPPS:
1) menunjukkan keserbacakupan informasi yang jelas dengan data dan informasi yang disampaikan pada masing-masing kriteria,
2) menggambarkan keselarasan dengan substansi keilmuan program studi. </t>
  </si>
  <si>
    <t xml:space="preserve">Profil UPPS:
1) kurang menunjukkan keserbacakupan informasi yang jelas dengan data dan informasi yang disampaikan pada masing-masing kriteria,
2) kurang menggambarkan keselarasan dengan substansi keilmuan program studi. </t>
  </si>
  <si>
    <t xml:space="preserve">Profil UPPS tidak menunjukkan keserbacakupan informasi yang jelas dengan data dan informasi yang disampaikan pada masing-masing kriteria. </t>
  </si>
  <si>
    <r>
      <rPr>
        <b/>
        <sz val="11"/>
        <color rgb="FF000000"/>
        <rFont val="Calibri"/>
      </rPr>
      <t>C  Kriteria</t>
    </r>
    <r>
      <rPr>
        <sz val="11"/>
        <color rgb="FF000000"/>
        <rFont val="Calibri"/>
      </rPr>
      <t xml:space="preserve">
</t>
    </r>
    <r>
      <rPr>
        <b/>
        <sz val="11"/>
        <color rgb="FF000000"/>
        <rFont val="Calibri"/>
      </rPr>
      <t>C.1 
Visi, Misi, Tujuan dan Strategi</t>
    </r>
    <r>
      <rPr>
        <sz val="11"/>
        <color rgb="FF000000"/>
        <rFont val="Calibri"/>
      </rPr>
      <t xml:space="preserve">
C.1.4 
Indikator Kinerja Utama
</t>
    </r>
  </si>
  <si>
    <t>Kesesuaian Visi, Misi, Tujuan dan Strategi (VMTS) Unit Pengelola Program Studi (UPPS) terhadap VMTS Perguruan Tinggi (PT) dan visi keilmuan Program Studi (PS) yang dikelolanya.</t>
  </si>
  <si>
    <t>UPPS memiliki:
1) visi yang mencerminkan visi perguruan tinggi dan memayungi visi keilmuan terkait keunikan program studi serta didukung data konsistensi implementasinya,
2) misi, tujuan, dan strategi yang searah dan bersinerji dengan misi, tujuan, dan strategi perguruan tinggi serta mendukung pengembangan program studi dengan data konsistensi implementasinya.</t>
  </si>
  <si>
    <t>UPPS memiliki:
1) visi yang mencerminkan visi perguruan tinggi dan memayungi visi keilmuan terkait keunikan program studi,
2) misi, tujuan, dan strategi yang searah dan bersinerji dengan misi, tujuan, dan strategi perguruan tinggi serta mendukung pengembangan program studi.</t>
  </si>
  <si>
    <t>UPPS memiliki: 
1) visi yang mencerminkan visi perguruan tinggi dan memayungi visi keilmuan terkait program studi,
2) misi, tujuan, dan strategi yang searah dengan misi, tujuan, dan strategi perguruan tinggi serta mendukung pengembangan program studi.</t>
  </si>
  <si>
    <t>UPPS memiliki:
1) visi yang mencerminkan visi perguruan tinggi namun tidak memayungi visi keilmuan terkait program studi,
2) misi, tujuan, dan strategi kurang searah dengan misi, tujuan sasaran, dan strategi perguruan tinggi serta kurang mendukung pengembangan program studi.</t>
  </si>
  <si>
    <t>UPPS memiliki misi, tujuan, dan strategi yang tidak terkait dengan strategi perguruan tinggi dan pengembangan program studi.</t>
  </si>
  <si>
    <t>Mekanisme dan keterlibatan pemangku kepentingan dalam penyusunan VMTS UPPS.</t>
  </si>
  <si>
    <t>Ada mekanisme dalam penyusunan dan penetapan visi, misi, tujuan dan strategi yang terdokumentasi serta ada keterlibatan semua pemangku kepentingan internal (dosen, mahasiswa dan tenaga kependidikan) dan eksternal (lulusan, pengguna lulusan dan pakar/mitra/organisasi profesi/pemerintah).</t>
  </si>
  <si>
    <t xml:space="preserve">Ada mekanisme dalam penyusunan dan penetapan visi, misi, tujuan dan strategi yang terdokumentasi serta ada keterlibatan pemangku kepentingan internal (dosen, mahasiswa dan tenaga kependidikan) dan pemangku kepentingan eksternal (lulusan dan pengguna lulusan). </t>
  </si>
  <si>
    <t>Ada mekanisme dalam penyusunan dan penetapan visi, misi, tujuan dan strategi yang terdokumentasi serta ada keterlibatan pemangku kepentingan internal (dosen dan mahasiswa) dan pemangku kepentingan eksternal (lulusan).</t>
  </si>
  <si>
    <t>Ada mekanisme dalam penyusunan dan penetapan visi, misi, tujuan dan strategi yang terdokumentasi namun tidak melibatkan pemangku kepentingan.</t>
  </si>
  <si>
    <t>Tidak ada mekanisme dalam penyusunan dan penetapan visi, misi, tujuan dan strategi.</t>
  </si>
  <si>
    <t xml:space="preserve">Strategi pencapaian tujuan disusun berdasarkan analisis yang sistematis, serta pada pelaksanaannya dilakukan pemantauan dan evaluasi yang ditindaklanjuti. </t>
  </si>
  <si>
    <t>Strategi efektif untuk mencapai tujuan dan disusun berdasarkan analisis yang sistematis dengan menggunakan metoda yang relevan dan terdokumentasi serta pada pelaksanaannya dilakukan pemantauan dan evaluasi dan ditindaklanjuti.</t>
  </si>
  <si>
    <t>Strategi efektif untuk mencapai tujuan dan disusun berdasarkan analisis yang sistematis dengan menggunakan metoda yang relevan dan terdokumentasi serta pada pelaksanaannya dilakukan pemantauan dan evaluasi.</t>
  </si>
  <si>
    <t>Strategi untuk mencapai tujuan dan disusun berdasarkan analisis yang sistematis dengan menggunakan metoda yang relevan serta terdokumentasi namun belum terbukti efektifitasnya.</t>
  </si>
  <si>
    <t>Strategi untuk mencapai tujuan disusun berdasarkan analisis yang kurang sistematis serta tidak menggunakan metoda yang relevan.</t>
  </si>
  <si>
    <t>Tidak memiliki strategi untuk mencapai tujuan.</t>
  </si>
  <si>
    <r>
      <rPr>
        <b/>
        <sz val="11"/>
        <color rgb="FF000000"/>
        <rFont val="Calibri"/>
      </rPr>
      <t>C.2 
Tata Pamong, Tata Kelola, dan Kerjasama</t>
    </r>
    <r>
      <rPr>
        <sz val="11"/>
        <color rgb="FF000000"/>
        <rFont val="Calibri"/>
      </rPr>
      <t xml:space="preserve">
C.2.4 
Indikator Kinerja Utama
C.2.4.a) 
Sistem Tata Pamong</t>
    </r>
  </si>
  <si>
    <t>A. Kelengkapan struktur organisasi dan keefektifan penyelenggaraan organisasi.</t>
  </si>
  <si>
    <t>UPPS memiliki dokumen formal struktur organisasi dan tata kerja yang dilengkapi tugas dan fungsinya, serta telah berjalan secara konsisten dan menjamin tata pamong yang baik serta berjalan efektif dan efisien.</t>
  </si>
  <si>
    <t>UPPS memiliki dokumen formal struktur organisasi dan tata kerja yang dilengkapi tugas dan fungsinya, serta telah berjalan secara konsisten dan menjamin tata pamong yang baik.</t>
  </si>
  <si>
    <t xml:space="preserve">UPPS memiliki dokumen formal struktur organisasi dan tata kerja yang dilengkapi tugas dan fungsinya, serta telah berjalan secara konsisten. </t>
  </si>
  <si>
    <t>UPPS memiliki dokumen formal struktur organisasi dan tata kerja  namun tugas dan fungsi belum berjalan secara konsisten.</t>
  </si>
  <si>
    <t>UPPS tidak memiliki dokumen formal struktur organisasi.</t>
  </si>
  <si>
    <t>B. Perwujudan good governance dan pemenuhan lima pilar sistem tata pamong, yang mencakup: 1) Kredibel, 2) Transparan, 3) Akuntabel, 4) Bertanggung jawab, 5) Adil.</t>
  </si>
  <si>
    <r>
      <t>UPPS memiliki praktek baik (</t>
    </r>
    <r>
      <rPr>
        <i/>
        <sz val="11"/>
        <color rgb="FF000000"/>
        <rFont val="Calibri"/>
      </rPr>
      <t>best practices</t>
    </r>
    <r>
      <rPr>
        <sz val="11"/>
        <color rgb="FF000000"/>
        <rFont val="Calibri"/>
      </rPr>
      <t>) dalam menerapkan tata pamong yang memenuhi 5 kaidah good governance untuk menjamin penyelenggaraan program studi yang bermutu.</t>
    </r>
  </si>
  <si>
    <r>
      <t>UPPS memiliki praktek baik (</t>
    </r>
    <r>
      <rPr>
        <i/>
        <sz val="11"/>
        <color rgb="FF000000"/>
        <rFont val="Calibri"/>
      </rPr>
      <t>best practices</t>
    </r>
    <r>
      <rPr>
        <sz val="11"/>
        <color rgb="FF000000"/>
        <rFont val="Calibri"/>
      </rPr>
      <t>) dalam menerapkan tata pamong yang memenuhi 4 kaidah good governance untuk menjamin penyelenggaraan program studi yang bermutu.</t>
    </r>
  </si>
  <si>
    <r>
      <t>UPPS memiliki praktek baik (</t>
    </r>
    <r>
      <rPr>
        <i/>
        <sz val="11"/>
        <color rgb="FF000000"/>
        <rFont val="Calibri"/>
      </rPr>
      <t>best practices</t>
    </r>
    <r>
      <rPr>
        <sz val="11"/>
        <color rgb="FF000000"/>
        <rFont val="Calibri"/>
      </rPr>
      <t>) dalam menerapkan tata pamong yang memenuhi 3 kaidah good governance untuk menjamin penyelenggaraan program studi yang bermutu.</t>
    </r>
  </si>
  <si>
    <r>
      <t>UPPS memiliki praktek baik (</t>
    </r>
    <r>
      <rPr>
        <i/>
        <sz val="11"/>
        <color rgb="FF000000"/>
        <rFont val="Calibri"/>
      </rPr>
      <t>best practices</t>
    </r>
    <r>
      <rPr>
        <sz val="11"/>
        <color rgb="FF000000"/>
        <rFont val="Calibri"/>
      </rPr>
      <t>) dalam menerapkan tata pamong yang memenuhi 1 s.d. 2 kaidah good governance untuk menjamin penyelenggaraan program studi yang bermutu.</t>
    </r>
  </si>
  <si>
    <t>Tidak ada Skor kurang dari 1.</t>
  </si>
  <si>
    <t>Skor = (A + (2 x B)) / 3</t>
  </si>
  <si>
    <t>C.2.4.b) 
Kepemimpinan dan Kemampuan Manajerial</t>
  </si>
  <si>
    <t>A. Komitmen pimpinan UPPS.</t>
  </si>
  <si>
    <t xml:space="preserve">Terdapat bukti/pengakuan yang sahih bahwa pimpinan UPPS memiliki karakter kepemimpinan operasional, organisasi, dan publik. </t>
  </si>
  <si>
    <t xml:space="preserve">Terdapat bukti/pengakuan yang sahih bahwa pimpinan UPPS memiliki 2 karakter diantara kepemimpinan operasional, organisasi, dan publik. </t>
  </si>
  <si>
    <t xml:space="preserve">Terdapat bukti/pengakuan yang sahih bahwa pimpinan UPPS memiliki salah satu karakter diantara kepemimpinan operasional, organisasi, dan publik. </t>
  </si>
  <si>
    <t>Tidak ada Skor kurang dari 2.</t>
  </si>
  <si>
    <t xml:space="preserve">B. Kapabilitas pimpinan UPPS, mencakup aspek: 1) perencanaan, 2) pengorganisasian, 3) penempatan personel, 4) pelaksanaan, 5) pengendalian dan pengawasan, dan 6) pelaporan yang menjadi dasar tindak lanjut. </t>
  </si>
  <si>
    <t>Pimpinan UPPS mampu :
1) melaksanakan 6 fungsi manajemen secara efektif dan efisien,
2) mengantisipasi dan menyelesaikan masalah pada situasi yang tidak terduga,
3) melakukan inovasi untuk menghasilkan nilai tambah.</t>
  </si>
  <si>
    <t>Pimpinan UPPS mampu :
1) melaksanakan 6 fungsi manajemen secara efektif dan efisien,
2) mengantisipasi dan menyelesaikan masalah pada situasi yang tidak terduga.</t>
  </si>
  <si>
    <t>Pimpinan UPPS mampu melaksanakan 6 fungsi manajemen secara efektif.</t>
  </si>
  <si>
    <t>Pimpinan UPPS mampu melaksanakan kurang dari 6 fungsi manajemen.</t>
  </si>
  <si>
    <t>C.2.4.c) 
Kerjasama</t>
  </si>
  <si>
    <t>Mutu, manfaat, kepuasan dan keberlanjutan kerjasama pendidikan, penelitian dan PkM yang relevan dengan program studi. UPPS memiliki bukti yang sahih terkait kerjasama yang ada telah memenuhi 3 aspek berikut: 1) memberikan manfaat bagi program studi dalam pemenuhan proses pembelajaran, penelitian, PkM. 2) memberikan peningkatan kinerja tridharma dan fasilitas pendukung program studi. 3) memberikan kepuasan kepada mitra industri dan mitra kerjasama lainnya, serta menjamin keberlanjutan kerjasama dan hasilnya.</t>
  </si>
  <si>
    <t>UPPS memiliki bukti yang sahih terkait kerjasama yang ada telah memenuhi 3 aspek.</t>
  </si>
  <si>
    <t>UPPS memiliki bukti yang sahih terkait kerjasama yang ada telah memenuhi aspek 1 dan 2.</t>
  </si>
  <si>
    <t>UPPS memiliki bukti yang sahih terkait kerjasama yang ada telah memenuhi aspek 1.</t>
  </si>
  <si>
    <t>UPPS tidak memiliki bukti pelaksanaan kerjasama.</t>
  </si>
  <si>
    <t>A. Kerjasama perguruan tinggi di bidang pendidikan, penelitian dan PkM dalam 3 tahun terakhir.
Tabel 1 LKPS</t>
  </si>
  <si>
    <r>
      <t>N</t>
    </r>
    <r>
      <rPr>
        <vertAlign val="subscript"/>
        <sz val="11"/>
        <color rgb="FF000000"/>
        <rFont val="Calibri"/>
      </rPr>
      <t>1</t>
    </r>
    <r>
      <rPr>
        <sz val="11"/>
        <color rgb="FF000000"/>
        <rFont val="Calibri"/>
      </rPr>
      <t xml:space="preserve"> = Jumlah kerjasama pendidikan.</t>
    </r>
  </si>
  <si>
    <t>borang</t>
  </si>
  <si>
    <r>
      <t>N</t>
    </r>
    <r>
      <rPr>
        <vertAlign val="subscript"/>
        <sz val="11"/>
        <color rgb="FF000000"/>
        <rFont val="Calibri"/>
      </rPr>
      <t>2</t>
    </r>
    <r>
      <rPr>
        <sz val="11"/>
        <color rgb="FF000000"/>
        <rFont val="Calibri"/>
      </rPr>
      <t xml:space="preserve"> = Jumlah kerjasama penelitian.</t>
    </r>
  </si>
  <si>
    <r>
      <t>N</t>
    </r>
    <r>
      <rPr>
        <vertAlign val="subscript"/>
        <sz val="11"/>
        <color rgb="FF000000"/>
        <rFont val="Calibri"/>
      </rPr>
      <t>3</t>
    </r>
    <r>
      <rPr>
        <sz val="11"/>
        <color rgb="FF000000"/>
        <rFont val="Calibri"/>
      </rPr>
      <t xml:space="preserve"> = Jumlah kerjasama pengabdian kepada masyarakat.</t>
    </r>
  </si>
  <si>
    <r>
      <t>N</t>
    </r>
    <r>
      <rPr>
        <vertAlign val="subscript"/>
        <sz val="11"/>
        <color rgb="FF000000"/>
        <rFont val="Calibri"/>
      </rPr>
      <t>DTPS</t>
    </r>
    <r>
      <rPr>
        <sz val="11"/>
        <color rgb="FF000000"/>
        <rFont val="Calibri"/>
      </rPr>
      <t xml:space="preserve"> = Jumlah dosen tetap yang ditugaskan sebagai pengampu mata kuliah dengan bidang keahlian yang sesuai dengan kompetensi inti program studi yang diakreditasi.</t>
    </r>
  </si>
  <si>
    <t>RK = ((a x N1) + (b x N2) + (c x N3)) / NDTPS</t>
  </si>
  <si>
    <t>a =</t>
  </si>
  <si>
    <t xml:space="preserve">b = </t>
  </si>
  <si>
    <t xml:space="preserve">c = </t>
  </si>
  <si>
    <t>bRK =</t>
  </si>
  <si>
    <t>Skor A</t>
  </si>
  <si>
    <t>B. Kerjasama tingkat internasional, nasional, wilayah/lokal yang relevan dengan program studi dan dikelola oleh UPPS dalam 3 tahun terakhir.
Tabel 1 LKPS</t>
  </si>
  <si>
    <r>
      <t>N</t>
    </r>
    <r>
      <rPr>
        <vertAlign val="subscript"/>
        <sz val="11"/>
        <color rgb="FF000000"/>
        <rFont val="Calibri"/>
      </rPr>
      <t>I</t>
    </r>
    <r>
      <rPr>
        <sz val="11"/>
        <color rgb="FF000000"/>
        <rFont val="Calibri"/>
      </rPr>
      <t xml:space="preserve"> = Jumlah kerjasama tingkat internasional.</t>
    </r>
  </si>
  <si>
    <r>
      <t>N</t>
    </r>
    <r>
      <rPr>
        <vertAlign val="subscript"/>
        <sz val="11"/>
        <color rgb="FF000000"/>
        <rFont val="Calibri"/>
      </rPr>
      <t>N</t>
    </r>
    <r>
      <rPr>
        <sz val="11"/>
        <color rgb="FF000000"/>
        <rFont val="Calibri"/>
      </rPr>
      <t xml:space="preserve"> = Jumlah kerjasama tingkat nasional.</t>
    </r>
  </si>
  <si>
    <r>
      <t>N</t>
    </r>
    <r>
      <rPr>
        <vertAlign val="subscript"/>
        <sz val="11"/>
        <color rgb="FF000000"/>
        <rFont val="Calibri"/>
      </rPr>
      <t>W</t>
    </r>
    <r>
      <rPr>
        <sz val="11"/>
        <color rgb="FF000000"/>
        <rFont val="Calibri"/>
      </rPr>
      <t xml:space="preserve"> = Jumlah kerjasama tingkat wilayah/lokal.</t>
    </r>
  </si>
  <si>
    <t xml:space="preserve">4: NI ≥ a </t>
  </si>
  <si>
    <r>
      <t xml:space="preserve">3-4: NI &lt; a DAN NN </t>
    </r>
    <r>
      <rPr>
        <sz val="11"/>
        <color rgb="FFFFFFFF"/>
        <rFont val="Calibri"/>
      </rPr>
      <t>≥</t>
    </r>
    <r>
      <rPr>
        <sz val="11"/>
        <color rgb="FFFFFFFF"/>
        <rFont val="Calibri"/>
      </rPr>
      <t xml:space="preserve"> b</t>
    </r>
  </si>
  <si>
    <t>2-3: 0 &lt; NI &lt; a DAN 0 &lt; NN &lt; b</t>
  </si>
  <si>
    <t>2: NI = 0 DAN NN = 0 DAN NW ≥ c</t>
  </si>
  <si>
    <t>0-2: NI = 0 DAN NN = 0 DAN NW &lt; c</t>
  </si>
  <si>
    <t>Skor B</t>
  </si>
  <si>
    <t>Skor = ((2 x A) + B) / 3</t>
  </si>
  <si>
    <t>C.2.5 
Indikator Kinerja Tambahan</t>
  </si>
  <si>
    <t>Pelampauan SN-DIKTI (indikator kinerja tambahan) yang ditetapkan oleh UPPS pada tiap kriteria.</t>
  </si>
  <si>
    <t>UPPS menetapkan indikator kinerja tambahan berdasarkan standar pendidikan tinggi yang ditetapkan perguruan tinggi. Indikator kinerja tambahan mencakup seluruh kriteria serta menunjukkan daya saing UPPS dan program studi di tingkat inernasional. Data indikator kinerja tambahan telah diukur, dimonitor, dikaji, dan dianalisis untuk perbaikan berkelanjutan.</t>
  </si>
  <si>
    <t>UPPS menetapkan indikator kinerja tambahan berdasarkan standar pendidikan tinggi yang ditetapkan perguruan tinggi. Indikator kinerja tambahan mencakup sebagian kriteria serta menunjukkan daya saing UPPS dan program studi di tingkat nasional. Data indikator kinerja tambahan telah diukur, dimonitor, dikaji, dan dianalisis untuk perbaikan berkelanjutan.</t>
  </si>
  <si>
    <t>UPPS tidak menetapkan indikator kinerja tambahan.</t>
  </si>
  <si>
    <t>C.2.6 
Evaluasi Capaian Kinerja</t>
  </si>
  <si>
    <t>Analisis keberhasilan dan/atau ketidakberhasilan pencapaian kinerja yang telah ditetapkan institusi yang memenuhi 2 aspek sebagai berikut: 
1) capaian kinerja harus diukur dengan metoda yang tepat, dan hasilnya dianalisis serta dievaluasi, dan
2) analisis terhadap capaian kinerja mencakup identifikasi akar masalah, faktor pendukung keberhasilan dan faktor penghambat ketercapaian standar, dan deskripsi singkat tindak lanjut yang akan dilakukan.</t>
  </si>
  <si>
    <t>Analisis pencapaian kinerja UPPS di tiap kriteria memenuhi 2 aspek, dilaksanakan setiap tahun dan hasilnya dipublikasikan kepada para pemangku kepentingan.</t>
  </si>
  <si>
    <t>Analisis pencapaian kinerja UPPS di tiap kriteria memenuhi 2 aspek dan dilaksanakan setiap tahun.</t>
  </si>
  <si>
    <t xml:space="preserve">Analisis pencapaian kinerja UPPS di tiap kriteria memenuhi 2 aspek. </t>
  </si>
  <si>
    <t xml:space="preserve">UPPS memiliki laporan pencapaian kinerja namun belum dianalisis dan dievaluasi. </t>
  </si>
  <si>
    <t xml:space="preserve">UPPS tidak memiliki laporan pencapaian kinerja. </t>
  </si>
  <si>
    <t>C.2.7
Penjaminan Mutu</t>
  </si>
  <si>
    <r>
      <t xml:space="preserve">Keterlaksanaan Sistem Penjaminan Mutu Internal (akademik dan nonakademik) yang dibuktikan dengan keberadaan 5 aspek:
1) dokumen legal pembentukan unsur pelaksana penjaminan mutu.
2) ketersediaan dokumen mutu: kebijakan SPMI, manual SPMI, standar SPMI, dan formulir SPMI.
3) terlaksananya siklus penjaminan mutu (siklus PPEPP).
4) bukti sahih efektivitas pelaksanaan penjaminan mutu.
5) memiliki </t>
    </r>
    <r>
      <rPr>
        <i/>
        <sz val="11"/>
        <color rgb="FF000000"/>
        <rFont val="Calibri"/>
      </rPr>
      <t>external benchmarking</t>
    </r>
    <r>
      <rPr>
        <sz val="11"/>
        <color rgb="FF000000"/>
        <rFont val="Calibri"/>
      </rPr>
      <t xml:space="preserve"> dalam peningkatan mutu.</t>
    </r>
  </si>
  <si>
    <t>UPPS telah melaksanakan SPMI yang memenuhi 5 aspek.</t>
  </si>
  <si>
    <t xml:space="preserve">UPPS telah melaksanakan SPMI yang memenuhi aspek nomor 1 sampai dengan 4. </t>
  </si>
  <si>
    <t>UPPS telah melaksanakan SPMI yang memenuhi aspek nomor 1 sampai dengan 3.</t>
  </si>
  <si>
    <t>UPPS telah melaksanakan SPMI yang memenuhi aspek nomor 1 dan 2, serta siklus kegiatan SPMI baru dilaksanakan pada tahapan penetapan standar dan pelaksanaan standar pendidikan tinggi.</t>
  </si>
  <si>
    <t>UPPS telah memiliki dokumen legal pembentukan unsur pelaksana penjaminan mutu tanpa pelaksanaan SPMI.</t>
  </si>
  <si>
    <t>C.2.8
Kepuasan pemangku kepentingan</t>
  </si>
  <si>
    <t>Pengukuran kepuasan layanan manajemen terhadap para pemangku kepentingan: mahasiswa, dosen, tenaga kependidikan, lulusan, pengguna dan mitra yang memenuhi aspek-aspek berikut:
1) menggunakan instrumen kepuasan yang sahih, andal, mudah digunakan,
2) dilaksanakan secara berkala, serta datanya terekam secara komprehensif, 
3) dianalisis dengan metode yang tepat serta bermanfaat untuk pengambilan keputusan,
4) tingkat kepuasan dan umpan balik ditindaklanjuti untuk perbaikan dan peningkatan mutu luaran secara berkala dan tersistem,
5) dilakukan review terhadap pelaksanaan pengukuran kepuasan dosen dan mahasiswa, serta
6) hasilnya dipublikasikan dan mudah diakses oleh dosen dan mahasiswa.</t>
  </si>
  <si>
    <t>UPPS melakukan pengukuran kepuasan kepada seluruh pemangku kepentingan terhadap layanan manajemen yang memenuhi seluruh aspek.</t>
  </si>
  <si>
    <t>UPPS melakukan pengukuran kepuasan kepada seluruh pemangku kepentingan terhadap layanan manajemen yang memenuhi aspek 1 s.d 4 dan salah satu dari aspek 5 atau aspek 6.</t>
  </si>
  <si>
    <t>UPPS melakukan pengukuran kepuasan kepada seluruh pemangku kepentingan terhadap layanan manajemen yang memenuhi aspek 1 s.d 4.</t>
  </si>
  <si>
    <t>UPPS melakukan pengukuran kepuasan kepada sebagian pemangku kepentingan terhadap layanan manajemen yang memenuhi aspek 1 s.d. 4.</t>
  </si>
  <si>
    <t>UPPS tidak melakukan pengukuran kepuasan layanan manajemen.</t>
  </si>
  <si>
    <r>
      <rPr>
        <b/>
        <sz val="11"/>
        <color rgb="FF000000"/>
        <rFont val="Calibri"/>
      </rPr>
      <t>C.3
Mahasiswa</t>
    </r>
    <r>
      <rPr>
        <sz val="11"/>
        <color rgb="FF000000"/>
        <rFont val="Calibri"/>
      </rPr>
      <t xml:space="preserve">
C.3.4 
Indikator Kinerja Utama
C.3.4.a) 
Kualitas Input Mahasiswa</t>
    </r>
  </si>
  <si>
    <t>Metoda rekrutmen dan keketatan seleksi.
Tabel 2.a LKPS</t>
  </si>
  <si>
    <t>Pilih kelompok program studi berdasarkan jumlah kebutuhan lulusan sesuai pilihan yang tersedia.
1: Tinggi; 2: Rendah.</t>
  </si>
  <si>
    <t>Tinggi</t>
  </si>
  <si>
    <t>1: Jumlah kebutuhan lulusan tinggi</t>
  </si>
  <si>
    <t>2: Jumlah kebutuhan lulusan rendah</t>
  </si>
  <si>
    <t>Rendah</t>
  </si>
  <si>
    <t>Untuk program studi dengan jumlah kebutuhan lulusan tinggi berlaku perhitungan Skor sebagai berikut:</t>
  </si>
  <si>
    <r>
      <t>N</t>
    </r>
    <r>
      <rPr>
        <vertAlign val="subscript"/>
        <sz val="11"/>
        <color rgb="FF000000"/>
        <rFont val="Calibri"/>
      </rPr>
      <t>A</t>
    </r>
    <r>
      <rPr>
        <sz val="11"/>
        <color rgb="FF000000"/>
        <rFont val="Calibri"/>
      </rPr>
      <t xml:space="preserve"> = Jumlah calon mahasiswa yang ikut seleksi.</t>
    </r>
  </si>
  <si>
    <r>
      <t>N</t>
    </r>
    <r>
      <rPr>
        <vertAlign val="subscript"/>
        <sz val="11"/>
        <color rgb="FF000000"/>
        <rFont val="Calibri"/>
      </rPr>
      <t>B</t>
    </r>
    <r>
      <rPr>
        <sz val="11"/>
        <color rgb="FF000000"/>
        <rFont val="Calibri"/>
      </rPr>
      <t xml:space="preserve"> = Jumlah calon mahasiswa yang lulus seleksi.</t>
    </r>
  </si>
  <si>
    <r>
      <t>Rasio = N</t>
    </r>
    <r>
      <rPr>
        <vertAlign val="subscript"/>
        <sz val="11"/>
        <color rgb="FF000000"/>
        <rFont val="Calibri"/>
      </rPr>
      <t>A</t>
    </r>
    <r>
      <rPr>
        <sz val="11"/>
        <color rgb="FF000000"/>
        <rFont val="Calibri"/>
      </rPr>
      <t xml:space="preserve"> / N</t>
    </r>
    <r>
      <rPr>
        <vertAlign val="subscript"/>
        <sz val="11"/>
        <color rgb="FF000000"/>
        <rFont val="Calibri"/>
      </rPr>
      <t>B</t>
    </r>
  </si>
  <si>
    <t>b =</t>
  </si>
  <si>
    <t>Untuk program studi dengan jumlah kebutuhan lulusan rendah berlaku pemberian Skor sesuai kondisi berikut:</t>
  </si>
  <si>
    <t>Jika selalu ada mahasiswa baru terdaftar pada TS-4 s.d. TS.</t>
  </si>
  <si>
    <t>Tidak ada skor antara 2 dan 4.</t>
  </si>
  <si>
    <t>Jika tidak selalu ada mahasiswa baru terdaftar pada TS-4 s.d. TS.</t>
  </si>
  <si>
    <t>Tidak ada skor antara 0 dan 2.</t>
  </si>
  <si>
    <t>Jika tidak ada mahasiswa baru terdaftar pada TS-4 s.d. TS.</t>
  </si>
  <si>
    <t>C.3.4.b) Daya Tarik Program Studi</t>
  </si>
  <si>
    <t>A. Peningkatan animo calon mahasiswa.
Tabel 2.a LKPS</t>
  </si>
  <si>
    <t>UPPS melakukan upaya untuk meningkatkan animo calon mahasiswa yang ditunjukkan dengan adanya tren peningkatan jumlah pendaftar secara signifikan (&gt; 10%) dalam 3 tahun terakhir.</t>
  </si>
  <si>
    <t>UPPS melakukan upaya untuk meningkatkan animo calon mahasiswa yang ditunjukkan dengan adanya tren peningkatan jumlah pendaftar dalam 3 tahun terakhir.</t>
  </si>
  <si>
    <t xml:space="preserve">UPPS melakukan upaya untuk meningkatkan animo calon mahasiswa dalam 3 tahun terakhir dengan tren tetap. </t>
  </si>
  <si>
    <t xml:space="preserve">UPPS melakukan upaya untuk meningkatkan animo calon mahasiswa dalam 3 tahun terakhir namun trennya menurun. </t>
  </si>
  <si>
    <t xml:space="preserve">UPPS tidak melakukan upaya untuk meningkatkan animo calon mahasiswa dalam 3 tahun terakhir. </t>
  </si>
  <si>
    <t>B. Mahasiswa asing.
Tabel 2.b LKPS</t>
  </si>
  <si>
    <r>
      <t>N</t>
    </r>
    <r>
      <rPr>
        <vertAlign val="subscript"/>
        <sz val="11"/>
        <color rgb="FF000000"/>
        <rFont val="Calibri"/>
      </rPr>
      <t>MUPPS</t>
    </r>
    <r>
      <rPr>
        <sz val="11"/>
        <color rgb="FF000000"/>
        <rFont val="Calibri"/>
      </rPr>
      <t xml:space="preserve"> = Jumlah mahasiswa aktif di UPPS dalam 3 tahun terakhir (TS-2 s.d. TS).</t>
    </r>
  </si>
  <si>
    <r>
      <t>N</t>
    </r>
    <r>
      <rPr>
        <vertAlign val="subscript"/>
        <sz val="11"/>
        <color rgb="FF000000"/>
        <rFont val="Calibri"/>
      </rPr>
      <t>MAFT</t>
    </r>
    <r>
      <rPr>
        <sz val="11"/>
        <color rgb="FF000000"/>
        <rFont val="Calibri"/>
      </rPr>
      <t xml:space="preserve"> = Jumlah mahasiswa asing penuh waktu dalam 3 tahun terakhir (TS-2 s.d. TS)</t>
    </r>
  </si>
  <si>
    <r>
      <t>N</t>
    </r>
    <r>
      <rPr>
        <vertAlign val="subscript"/>
        <sz val="11"/>
        <color rgb="FF000000"/>
        <rFont val="Calibri"/>
      </rPr>
      <t>MAPT</t>
    </r>
    <r>
      <rPr>
        <sz val="11"/>
        <color rgb="FF000000"/>
        <rFont val="Calibri"/>
      </rPr>
      <t xml:space="preserve"> = Jumlah mahasiswa asing paruh waktu dalam 3 tahun terakhir (TS-2 s.d. TS)</t>
    </r>
  </si>
  <si>
    <r>
      <t>P</t>
    </r>
    <r>
      <rPr>
        <vertAlign val="subscript"/>
        <sz val="11"/>
        <color rgb="FF000000"/>
        <rFont val="Calibri"/>
      </rPr>
      <t>MA</t>
    </r>
    <r>
      <rPr>
        <sz val="11"/>
        <color rgb="FF000000"/>
        <rFont val="Calibri"/>
      </rPr>
      <t xml:space="preserve"> = (N</t>
    </r>
    <r>
      <rPr>
        <vertAlign val="subscript"/>
        <sz val="11"/>
        <color rgb="FF000000"/>
        <rFont val="Calibri"/>
      </rPr>
      <t>MAFT</t>
    </r>
    <r>
      <rPr>
        <sz val="11"/>
        <color rgb="FF000000"/>
        <rFont val="Calibri"/>
      </rPr>
      <t xml:space="preserve"> + N</t>
    </r>
    <r>
      <rPr>
        <vertAlign val="subscript"/>
        <sz val="11"/>
        <color rgb="FF000000"/>
        <rFont val="Calibri"/>
      </rPr>
      <t>MAPT</t>
    </r>
    <r>
      <rPr>
        <sz val="11"/>
        <color rgb="FF000000"/>
        <rFont val="Calibri"/>
      </rPr>
      <t>) / N</t>
    </r>
    <r>
      <rPr>
        <vertAlign val="subscript"/>
        <sz val="11"/>
        <color rgb="FF000000"/>
        <rFont val="Calibri"/>
      </rPr>
      <t>MUPPS</t>
    </r>
  </si>
  <si>
    <t>C.3.4.c) 
Layanan Kemahasiswaan</t>
  </si>
  <si>
    <t>A. Ketersediaan layanan kemahasiswaan di bidang: 
1) penalaran, minat dan bakat,
2) kesejahteraan (bimbingan dan konseling, layanan beasiswa, dan layanan kesehatan), dan
3) bimbingan karir dan kewirausahaan.</t>
  </si>
  <si>
    <t>Jenis layanan mencakup bidang penalaran, minat dan bakat,  kesejahteraan (bimbingan dan konseling, layanan beasiswa, dan layanan kesehatan), dan bimbingan karir dan kewirausahaan.</t>
  </si>
  <si>
    <t>Jenis layanan mencakup bidang penalaran, minat dan bakat, dan kesejahteraan (bimbingan dan konseling, layanan beasiswa, dan layanan kesehatan).</t>
  </si>
  <si>
    <t>Jenis layanan mencakup bidang penalaran, minat dan bakat mahasiswa.</t>
  </si>
  <si>
    <t>Jenis layanan hanya mencakup sebagian bidang penalaran, minat atau bakat.</t>
  </si>
  <si>
    <t>Tidak memiliki layanan kemahasiswaan.</t>
  </si>
  <si>
    <t>B. Akses dan mutu layanan kemahasiswaan.</t>
  </si>
  <si>
    <t>Ada kemudahan akses dan mutu layanan yang baik untuk bidang penalaran, minat bakat mahasiswa dan semua jenis layanan kesehatan.</t>
  </si>
  <si>
    <t>Ada kemudahan akses dan mutu layanan yang baik untuk bidang penalaran, minat bakat mahasiswa dan sebagian layanan kesehatan.</t>
  </si>
  <si>
    <t xml:space="preserve">Ada kemudahan akses dan mutu layanan yang baik untuk bidang penalaran dan minat bakat mahasiswa. </t>
  </si>
  <si>
    <t xml:space="preserve">Mutu layanan kurang baik untuk bidang penalaran atau minat bakat mahasiswa. </t>
  </si>
  <si>
    <r>
      <rPr>
        <b/>
        <sz val="11"/>
        <color rgb="FF000000"/>
        <rFont val="Calibri"/>
      </rPr>
      <t>C.4. Sumber Daya Manusia</t>
    </r>
    <r>
      <rPr>
        <sz val="11"/>
        <color rgb="FF000000"/>
        <rFont val="Calibri"/>
      </rPr>
      <t xml:space="preserve">
C.4.4. Indikator Kinerja Utama
C.4.4.a) Profil Dosen</t>
    </r>
  </si>
  <si>
    <t>Kecukupan jumlah DTPS.
Tabel 3.a.1) LKPS</t>
  </si>
  <si>
    <t>b1 =</t>
  </si>
  <si>
    <t>b2 =</t>
  </si>
  <si>
    <t>Kualifikasi akademik DTPS.
Tabel 3.a.1) LKPS</t>
  </si>
  <si>
    <r>
      <t>N</t>
    </r>
    <r>
      <rPr>
        <vertAlign val="subscript"/>
        <sz val="11"/>
        <color rgb="FF000000"/>
        <rFont val="Calibri"/>
      </rPr>
      <t>DS3</t>
    </r>
    <r>
      <rPr>
        <sz val="11"/>
        <color rgb="FF000000"/>
        <rFont val="Calibri"/>
      </rPr>
      <t xml:space="preserve"> = Jumlah DTPS yang berpendidikan tertinggi Doktor/Doktor Terapan/Subspesialis.</t>
    </r>
  </si>
  <si>
    <r>
      <t>P</t>
    </r>
    <r>
      <rPr>
        <vertAlign val="subscript"/>
        <sz val="11"/>
        <color rgb="FF000000"/>
        <rFont val="Calibri"/>
      </rPr>
      <t>DS3</t>
    </r>
    <r>
      <rPr>
        <sz val="11"/>
        <color rgb="FF000000"/>
        <rFont val="Calibri"/>
      </rPr>
      <t xml:space="preserve"> = (N</t>
    </r>
    <r>
      <rPr>
        <vertAlign val="subscript"/>
        <sz val="11"/>
        <color rgb="FF000000"/>
        <rFont val="Calibri"/>
      </rPr>
      <t>DS3</t>
    </r>
    <r>
      <rPr>
        <sz val="11"/>
        <color rgb="FF000000"/>
        <rFont val="Calibri"/>
      </rPr>
      <t xml:space="preserve"> / N</t>
    </r>
    <r>
      <rPr>
        <vertAlign val="subscript"/>
        <sz val="11"/>
        <color rgb="FF000000"/>
        <rFont val="Calibri"/>
      </rPr>
      <t>DTPS</t>
    </r>
    <r>
      <rPr>
        <sz val="11"/>
        <color rgb="FF000000"/>
        <rFont val="Calibri"/>
      </rPr>
      <t>) x 100%</t>
    </r>
  </si>
  <si>
    <t>Jabatan akademik DTPS.
Tabel 3.a.1) LKPS</t>
  </si>
  <si>
    <r>
      <t>N</t>
    </r>
    <r>
      <rPr>
        <vertAlign val="subscript"/>
        <sz val="11"/>
        <color rgb="FF000000"/>
        <rFont val="Calibri"/>
      </rPr>
      <t>DGB</t>
    </r>
    <r>
      <rPr>
        <sz val="11"/>
        <color rgb="FF000000"/>
        <rFont val="Calibri"/>
      </rPr>
      <t xml:space="preserve"> = Jumlah DTPS yang memiliki jabatan akademik Guru Besar.</t>
    </r>
  </si>
  <si>
    <r>
      <t>N</t>
    </r>
    <r>
      <rPr>
        <vertAlign val="subscript"/>
        <sz val="11"/>
        <color rgb="FF000000"/>
        <rFont val="Calibri"/>
      </rPr>
      <t>DLK</t>
    </r>
    <r>
      <rPr>
        <sz val="11"/>
        <color rgb="FF000000"/>
        <rFont val="Calibri"/>
      </rPr>
      <t xml:space="preserve"> = Jumlah DTPS yang memiliki jabatan akademik Lektor Kepala.</t>
    </r>
  </si>
  <si>
    <r>
      <t>N</t>
    </r>
    <r>
      <rPr>
        <vertAlign val="subscript"/>
        <sz val="11"/>
        <color rgb="FF000000"/>
        <rFont val="Calibri"/>
      </rPr>
      <t>DL</t>
    </r>
    <r>
      <rPr>
        <sz val="11"/>
        <color rgb="FF000000"/>
        <rFont val="Calibri"/>
      </rPr>
      <t xml:space="preserve"> = Jumlah DTPS tetap yang memiliki jabatan akademik Lektor.</t>
    </r>
  </si>
  <si>
    <r>
      <t>P</t>
    </r>
    <r>
      <rPr>
        <vertAlign val="subscript"/>
        <sz val="11"/>
        <color rgb="FF000000"/>
        <rFont val="Calibri"/>
      </rPr>
      <t>GBLKL</t>
    </r>
    <r>
      <rPr>
        <sz val="11"/>
        <color rgb="FF000000"/>
        <rFont val="Calibri"/>
      </rPr>
      <t xml:space="preserve"> = ((N</t>
    </r>
    <r>
      <rPr>
        <vertAlign val="subscript"/>
        <sz val="11"/>
        <color rgb="FF000000"/>
        <rFont val="Calibri"/>
      </rPr>
      <t>DGB</t>
    </r>
    <r>
      <rPr>
        <sz val="11"/>
        <color rgb="FF000000"/>
        <rFont val="Calibri"/>
      </rPr>
      <t xml:space="preserve"> + N</t>
    </r>
    <r>
      <rPr>
        <vertAlign val="subscript"/>
        <sz val="11"/>
        <color rgb="FF000000"/>
        <rFont val="Calibri"/>
      </rPr>
      <t>DLK</t>
    </r>
    <r>
      <rPr>
        <sz val="11"/>
        <color rgb="FF000000"/>
        <rFont val="Calibri"/>
      </rPr>
      <t xml:space="preserve"> + N</t>
    </r>
    <r>
      <rPr>
        <vertAlign val="subscript"/>
        <sz val="11"/>
        <color rgb="FF000000"/>
        <rFont val="Calibri"/>
      </rPr>
      <t>DL</t>
    </r>
    <r>
      <rPr>
        <sz val="11"/>
        <color rgb="FF000000"/>
        <rFont val="Calibri"/>
      </rPr>
      <t>) / N</t>
    </r>
    <r>
      <rPr>
        <vertAlign val="subscript"/>
        <sz val="11"/>
        <color rgb="FF000000"/>
        <rFont val="Calibri"/>
      </rPr>
      <t>DTPS</t>
    </r>
    <r>
      <rPr>
        <sz val="11"/>
        <color rgb="FF000000"/>
        <rFont val="Calibri"/>
      </rPr>
      <t>) x 100%</t>
    </r>
  </si>
  <si>
    <t>Rasio jumlah mahasiswa program studi terhadap jumlah DTPS.
Tabel 2.a LKPS dan Tabel 3.a.1) LKPS</t>
  </si>
  <si>
    <t>Pilih kelompok program studi sesuai pilihan yang tersedia.
1: Saintek (Sains Teknologi); 2: Soshum (Sosial Humaniora)</t>
  </si>
  <si>
    <t>Saintek</t>
  </si>
  <si>
    <t>1: Kelompok Sains Teknologi</t>
  </si>
  <si>
    <t>2: Kelompok Sosial Humaniora</t>
  </si>
  <si>
    <t>Soshum</t>
  </si>
  <si>
    <r>
      <t>N</t>
    </r>
    <r>
      <rPr>
        <vertAlign val="subscript"/>
        <sz val="11"/>
        <color rgb="FF000000"/>
        <rFont val="Calibri"/>
      </rPr>
      <t>M</t>
    </r>
    <r>
      <rPr>
        <sz val="11"/>
        <color rgb="FF000000"/>
        <rFont val="Calibri"/>
      </rPr>
      <t xml:space="preserve"> = Jumlah mahasiswa pada saat TS.</t>
    </r>
  </si>
  <si>
    <r>
      <t>R</t>
    </r>
    <r>
      <rPr>
        <vertAlign val="subscript"/>
        <sz val="11"/>
        <color rgb="FF000000"/>
        <rFont val="Calibri"/>
      </rPr>
      <t>MD</t>
    </r>
    <r>
      <rPr>
        <sz val="11"/>
        <color rgb="FF000000"/>
        <rFont val="Calibri"/>
      </rPr>
      <t xml:space="preserve"> = N</t>
    </r>
    <r>
      <rPr>
        <vertAlign val="subscript"/>
        <sz val="11"/>
        <color rgb="FF000000"/>
        <rFont val="Calibri"/>
      </rPr>
      <t>M</t>
    </r>
    <r>
      <rPr>
        <sz val="11"/>
        <color rgb="FF000000"/>
        <rFont val="Calibri"/>
      </rPr>
      <t xml:space="preserve"> / N</t>
    </r>
    <r>
      <rPr>
        <vertAlign val="subscript"/>
        <sz val="11"/>
        <color rgb="FF000000"/>
        <rFont val="Calibri"/>
      </rPr>
      <t>DTPS</t>
    </r>
  </si>
  <si>
    <t>Skor Saintek</t>
  </si>
  <si>
    <t>b3 =</t>
  </si>
  <si>
    <t>Skor Soshum</t>
  </si>
  <si>
    <t>Lihat nomor butir 14.
Kelompok program studi berdasarkan jumlah kebutuhan lulusan.</t>
  </si>
  <si>
    <t>Untuk program studi dengan jumlah kebutuhan lulusan rendah, berlaku Skor = Skor butir Kualitas Input Mahasiswa</t>
  </si>
  <si>
    <t xml:space="preserve">Penugasan DTPS sebagai pembimbing utama tugas akhir mahasiswa.
Tabel 3.a.2) LKPS </t>
  </si>
  <si>
    <r>
      <t>R</t>
    </r>
    <r>
      <rPr>
        <vertAlign val="subscript"/>
        <sz val="11"/>
        <color rgb="FF000000"/>
        <rFont val="Calibri"/>
      </rPr>
      <t>DPUPS</t>
    </r>
    <r>
      <rPr>
        <sz val="11"/>
        <color rgb="FF000000"/>
        <rFont val="Calibri"/>
      </rPr>
      <t xml:space="preserve"> = Rata-rata jumlah mahasiswa yang dibimbing pada PS yang diakreditasi</t>
    </r>
  </si>
  <si>
    <r>
      <t>R</t>
    </r>
    <r>
      <rPr>
        <vertAlign val="subscript"/>
        <sz val="11"/>
        <color rgb="FF000000"/>
        <rFont val="Calibri"/>
      </rPr>
      <t>DPUL</t>
    </r>
    <r>
      <rPr>
        <sz val="11"/>
        <color rgb="FF000000"/>
        <rFont val="Calibri"/>
      </rPr>
      <t xml:space="preserve"> = Rata-rata jumlah mahasiswa yang dibimbing pada PS lain di PT</t>
    </r>
  </si>
  <si>
    <r>
      <t>R</t>
    </r>
    <r>
      <rPr>
        <vertAlign val="subscript"/>
        <sz val="11"/>
        <color rgb="FF000000"/>
        <rFont val="Calibri"/>
      </rPr>
      <t>DPU</t>
    </r>
    <r>
      <rPr>
        <sz val="11"/>
        <color rgb="FF000000"/>
        <rFont val="Calibri"/>
      </rPr>
      <t xml:space="preserve"> </t>
    </r>
    <r>
      <rPr>
        <sz val="11"/>
        <color rgb="FF000000"/>
        <rFont val="Calibri"/>
      </rPr>
      <t>= (RDUPS + RDPUL) / 2</t>
    </r>
  </si>
  <si>
    <t>Ekuivalensi Waktu Mengajar Penuh DTPS.
Tabel 3.a.3) LKPS</t>
  </si>
  <si>
    <r>
      <t>EWMP</t>
    </r>
    <r>
      <rPr>
        <vertAlign val="subscript"/>
        <sz val="11"/>
        <color rgb="FF000000"/>
        <rFont val="Calibri"/>
      </rPr>
      <t>DT</t>
    </r>
    <r>
      <rPr>
        <sz val="11"/>
        <color rgb="FF000000"/>
        <rFont val="Calibri"/>
      </rPr>
      <t xml:space="preserve"> = Rata-rata EWMP DT per semester pada saat TS.</t>
    </r>
  </si>
  <si>
    <r>
      <t>EWMP</t>
    </r>
    <r>
      <rPr>
        <vertAlign val="subscript"/>
        <sz val="11"/>
        <color rgb="FF000000"/>
        <rFont val="Calibri"/>
      </rPr>
      <t>DTPS</t>
    </r>
    <r>
      <rPr>
        <sz val="11"/>
        <color rgb="FF000000"/>
        <rFont val="Calibri"/>
      </rPr>
      <t xml:space="preserve"> = Rata-rata EWMP DTPS per semester pada saat TS.</t>
    </r>
  </si>
  <si>
    <r>
      <t>EWMP = EWMP</t>
    </r>
    <r>
      <rPr>
        <vertAlign val="subscript"/>
        <sz val="11"/>
        <color rgb="FF000000"/>
        <rFont val="Calibri"/>
      </rPr>
      <t>DTPS</t>
    </r>
  </si>
  <si>
    <t>b4 =</t>
  </si>
  <si>
    <t>Dosen tidak tetap.
Tabel 3.a.4) LKPS</t>
  </si>
  <si>
    <r>
      <t>N</t>
    </r>
    <r>
      <rPr>
        <vertAlign val="subscript"/>
        <sz val="11"/>
        <color rgb="FF000000"/>
        <rFont val="Calibri"/>
      </rPr>
      <t>DTT</t>
    </r>
    <r>
      <rPr>
        <sz val="11"/>
        <color rgb="FF000000"/>
        <rFont val="Calibri"/>
      </rPr>
      <t xml:space="preserve"> = Jumlah dosen tidak tetap yang ditugaskan sebagai pengampu mata kuliah di program studi yang diakreditasi.</t>
    </r>
  </si>
  <si>
    <r>
      <t>N</t>
    </r>
    <r>
      <rPr>
        <vertAlign val="subscript"/>
        <sz val="11"/>
        <color rgb="FF000000"/>
        <rFont val="Calibri"/>
      </rPr>
      <t>DT</t>
    </r>
    <r>
      <rPr>
        <sz val="11"/>
        <color rgb="FF000000"/>
        <rFont val="Calibri"/>
      </rPr>
      <t xml:space="preserve"> = Jumlah dosen tetap yang ditugaskan sebagai pengampu mata kuliah di program studi yang diakreditasi.</t>
    </r>
  </si>
  <si>
    <r>
      <t>P</t>
    </r>
    <r>
      <rPr>
        <vertAlign val="subscript"/>
        <sz val="11"/>
        <color rgb="FF000000"/>
        <rFont val="Calibri"/>
      </rPr>
      <t>DTT</t>
    </r>
    <r>
      <rPr>
        <sz val="11"/>
        <color rgb="FF000000"/>
        <rFont val="Calibri"/>
      </rPr>
      <t xml:space="preserve"> = (N</t>
    </r>
    <r>
      <rPr>
        <vertAlign val="subscript"/>
        <sz val="11"/>
        <color rgb="FF000000"/>
        <rFont val="Calibri"/>
      </rPr>
      <t>DTT</t>
    </r>
    <r>
      <rPr>
        <sz val="11"/>
        <color rgb="FF000000"/>
        <rFont val="Calibri"/>
      </rPr>
      <t xml:space="preserve"> / (N</t>
    </r>
    <r>
      <rPr>
        <vertAlign val="subscript"/>
        <sz val="11"/>
        <color rgb="FF000000"/>
        <rFont val="Calibri"/>
      </rPr>
      <t>DTT</t>
    </r>
    <r>
      <rPr>
        <sz val="11"/>
        <color rgb="FF000000"/>
        <rFont val="Calibri"/>
      </rPr>
      <t xml:space="preserve"> + N</t>
    </r>
    <r>
      <rPr>
        <vertAlign val="subscript"/>
        <sz val="11"/>
        <color rgb="FF000000"/>
        <rFont val="Calibri"/>
      </rPr>
      <t>DT</t>
    </r>
    <r>
      <rPr>
        <sz val="11"/>
        <color rgb="FF000000"/>
        <rFont val="Calibri"/>
      </rPr>
      <t>)) x 100%</t>
    </r>
  </si>
  <si>
    <t>C.4.4.b) Kinerja Dosen</t>
  </si>
  <si>
    <t>Pengakuan/rekognisi atas kepakaran/prestasi/kinerja DTPS.
Pengakuan/rekognisi atas kepakaran/prestasi/kinerja DTPS dapat berupa:
(1) menjadi staf ahli/tenaga ahli/narasumber di lembaga tingkat wilayah/nasional/ internasional pada bidang yang sesuai dengan bidang program studi.
(2) menjadi visiting lecturer atau visiting scholar di program studi/perguruan tinggi terakreditasi A/Unggul atau program studi/perguruan tinggi internasional bereputasi.
(3) menjadi invited speaker pada pertemuan ilmiah tingkat wilayah/nasional/ internasional.
(4) menjadi editor atau mitra bestari pada jurnal nasional terakreditasi/jurnal internasional bereputasi di bidang yang sesuai dengan bidang program studi.
Tabel 3.b.1) LKPS</t>
  </si>
  <si>
    <r>
      <t>N</t>
    </r>
    <r>
      <rPr>
        <vertAlign val="subscript"/>
        <sz val="11"/>
        <color rgb="FF000000"/>
        <rFont val="Calibri"/>
      </rPr>
      <t>RD</t>
    </r>
    <r>
      <rPr>
        <sz val="11"/>
        <color rgb="FF000000"/>
        <rFont val="Calibri"/>
      </rPr>
      <t xml:space="preserve"> = Jumlah pengakuan atas prestasi/kinerja DTPS yang relevan dengan bidang keahlian dalam 3 tahun terakhir.</t>
    </r>
  </si>
  <si>
    <r>
      <t>R</t>
    </r>
    <r>
      <rPr>
        <vertAlign val="subscript"/>
        <sz val="11"/>
        <color rgb="FF000000"/>
        <rFont val="Calibri"/>
      </rPr>
      <t>RD</t>
    </r>
    <r>
      <rPr>
        <sz val="11"/>
        <color rgb="FF000000"/>
        <rFont val="Calibri"/>
      </rPr>
      <t xml:space="preserve"> = N</t>
    </r>
    <r>
      <rPr>
        <vertAlign val="subscript"/>
        <sz val="11"/>
        <color rgb="FF000000"/>
        <rFont val="Calibri"/>
      </rPr>
      <t>RD</t>
    </r>
    <r>
      <rPr>
        <sz val="11"/>
        <color rgb="FF000000"/>
        <rFont val="Calibri"/>
      </rPr>
      <t xml:space="preserve"> / N</t>
    </r>
    <r>
      <rPr>
        <vertAlign val="subscript"/>
        <sz val="11"/>
        <color rgb="FF000000"/>
        <rFont val="Calibri"/>
      </rPr>
      <t>DTPS</t>
    </r>
    <r>
      <rPr>
        <sz val="11"/>
        <color rgb="FF000000"/>
        <rFont val="Calibri"/>
      </rPr>
      <t xml:space="preserve"> </t>
    </r>
  </si>
  <si>
    <t>Kegiatan penelitian DTPS yang relevan dengan bidang program studi dalam 3 tahun terakhir.
Tabel 3.b.2) LKPS</t>
  </si>
  <si>
    <r>
      <t>N</t>
    </r>
    <r>
      <rPr>
        <vertAlign val="subscript"/>
        <sz val="11"/>
        <color rgb="FF000000"/>
        <rFont val="Calibri"/>
      </rPr>
      <t>I</t>
    </r>
    <r>
      <rPr>
        <sz val="11"/>
        <color rgb="FF000000"/>
        <rFont val="Calibri"/>
      </rPr>
      <t xml:space="preserve"> = Jumlah penelitian dengan sumber pembiayaan luar negeri dalam 3 tahun terakhir.</t>
    </r>
  </si>
  <si>
    <r>
      <t>N</t>
    </r>
    <r>
      <rPr>
        <vertAlign val="subscript"/>
        <sz val="11"/>
        <color rgb="FF000000"/>
        <rFont val="Calibri"/>
      </rPr>
      <t>N</t>
    </r>
    <r>
      <rPr>
        <sz val="11"/>
        <color rgb="FF000000"/>
        <rFont val="Calibri"/>
      </rPr>
      <t xml:space="preserve"> = Jumlah penelitian dengan sumber pembiayaan dalam negeri dalam 3 tahun terakhir.</t>
    </r>
  </si>
  <si>
    <r>
      <t>N</t>
    </r>
    <r>
      <rPr>
        <vertAlign val="subscript"/>
        <sz val="11"/>
        <color rgb="FF000000"/>
        <rFont val="Calibri"/>
      </rPr>
      <t>L</t>
    </r>
    <r>
      <rPr>
        <sz val="11"/>
        <color rgb="FF000000"/>
        <rFont val="Calibri"/>
      </rPr>
      <t xml:space="preserve"> = Jumlah penelitian dengan sumber pembiayaan PT/mandiri dalam 3 tahun terakhir.</t>
    </r>
  </si>
  <si>
    <r>
      <t>R</t>
    </r>
    <r>
      <rPr>
        <vertAlign val="subscript"/>
        <sz val="11"/>
        <color rgb="FF000000"/>
        <rFont val="Calibri"/>
      </rPr>
      <t>I</t>
    </r>
    <r>
      <rPr>
        <sz val="11"/>
        <color rgb="FF000000"/>
        <rFont val="Calibri"/>
      </rPr>
      <t xml:space="preserve"> = N</t>
    </r>
    <r>
      <rPr>
        <vertAlign val="subscript"/>
        <sz val="11"/>
        <color rgb="FF000000"/>
        <rFont val="Calibri"/>
      </rPr>
      <t>I</t>
    </r>
    <r>
      <rPr>
        <sz val="11"/>
        <color rgb="FF000000"/>
        <rFont val="Calibri"/>
      </rPr>
      <t xml:space="preserve"> / 3 / N</t>
    </r>
    <r>
      <rPr>
        <vertAlign val="subscript"/>
        <sz val="11"/>
        <color rgb="FF000000"/>
        <rFont val="Calibri"/>
      </rPr>
      <t>DTPS</t>
    </r>
  </si>
  <si>
    <r>
      <t>R</t>
    </r>
    <r>
      <rPr>
        <vertAlign val="subscript"/>
        <sz val="11"/>
        <color rgb="FF000000"/>
        <rFont val="Calibri"/>
      </rPr>
      <t>N</t>
    </r>
    <r>
      <rPr>
        <sz val="11"/>
        <color rgb="FF000000"/>
        <rFont val="Calibri"/>
      </rPr>
      <t xml:space="preserve"> = N</t>
    </r>
    <r>
      <rPr>
        <vertAlign val="subscript"/>
        <sz val="11"/>
        <color rgb="FF000000"/>
        <rFont val="Calibri"/>
      </rPr>
      <t>N</t>
    </r>
    <r>
      <rPr>
        <sz val="11"/>
        <color rgb="FF000000"/>
        <rFont val="Calibri"/>
      </rPr>
      <t xml:space="preserve"> / 3 / N</t>
    </r>
    <r>
      <rPr>
        <vertAlign val="subscript"/>
        <sz val="11"/>
        <color rgb="FF000000"/>
        <rFont val="Calibri"/>
      </rPr>
      <t>DTPS</t>
    </r>
  </si>
  <si>
    <r>
      <t>R</t>
    </r>
    <r>
      <rPr>
        <vertAlign val="subscript"/>
        <sz val="11"/>
        <color rgb="FF000000"/>
        <rFont val="Calibri"/>
      </rPr>
      <t>L</t>
    </r>
    <r>
      <rPr>
        <sz val="11"/>
        <color rgb="FF000000"/>
        <rFont val="Calibri"/>
      </rPr>
      <t xml:space="preserve"> = N</t>
    </r>
    <r>
      <rPr>
        <vertAlign val="subscript"/>
        <sz val="11"/>
        <color rgb="FF000000"/>
        <rFont val="Calibri"/>
      </rPr>
      <t>L</t>
    </r>
    <r>
      <rPr>
        <sz val="11"/>
        <color rgb="FF000000"/>
        <rFont val="Calibri"/>
      </rPr>
      <t xml:space="preserve"> / 3 / N</t>
    </r>
    <r>
      <rPr>
        <vertAlign val="subscript"/>
        <sz val="11"/>
        <color rgb="FF000000"/>
        <rFont val="Calibri"/>
      </rPr>
      <t>DTPS</t>
    </r>
  </si>
  <si>
    <t xml:space="preserve">4: RI ≥ a </t>
  </si>
  <si>
    <r>
      <t xml:space="preserve">3-4: RI &lt; a DAN RN </t>
    </r>
    <r>
      <rPr>
        <sz val="11"/>
        <color rgb="FFFFFFFF"/>
        <rFont val="Calibri"/>
      </rPr>
      <t>≥</t>
    </r>
    <r>
      <rPr>
        <sz val="11"/>
        <color rgb="FFFFFFFF"/>
        <rFont val="Calibri"/>
      </rPr>
      <t xml:space="preserve"> b</t>
    </r>
  </si>
  <si>
    <t>2-3: 0 &lt; RI &lt; a DAN 0 &lt; RN &lt; b</t>
  </si>
  <si>
    <t>2: RI = 0 DAN RN = 0 DAN RL ≥ c</t>
  </si>
  <si>
    <t>0-2: RI = 0 DAN RN = 0 DAN RL &lt; c</t>
  </si>
  <si>
    <t>Kegiatan PkM DTPS yang relevan dengan bidang program studi dalam 3 tahun terakhir.
Tabel 3.b.3) LKPS</t>
  </si>
  <si>
    <r>
      <t>N</t>
    </r>
    <r>
      <rPr>
        <vertAlign val="subscript"/>
        <sz val="11"/>
        <color rgb="FF000000"/>
        <rFont val="Calibri"/>
      </rPr>
      <t>I</t>
    </r>
    <r>
      <rPr>
        <sz val="11"/>
        <color rgb="FF000000"/>
        <rFont val="Calibri"/>
      </rPr>
      <t xml:space="preserve"> = Jumlah PkM dengan sumber pembiayaan luar negeri dalam 3 tahun terakhir.</t>
    </r>
  </si>
  <si>
    <r>
      <t>N</t>
    </r>
    <r>
      <rPr>
        <vertAlign val="subscript"/>
        <sz val="11"/>
        <color rgb="FF000000"/>
        <rFont val="Calibri"/>
      </rPr>
      <t>N</t>
    </r>
    <r>
      <rPr>
        <sz val="11"/>
        <color rgb="FF000000"/>
        <rFont val="Calibri"/>
      </rPr>
      <t xml:space="preserve"> = Jumlah PkM dengan sumber pembiayaan dalam negeri dalam 3 tahun terakhir.</t>
    </r>
  </si>
  <si>
    <r>
      <t>N</t>
    </r>
    <r>
      <rPr>
        <vertAlign val="subscript"/>
        <sz val="11"/>
        <color rgb="FF000000"/>
        <rFont val="Calibri"/>
      </rPr>
      <t>L</t>
    </r>
    <r>
      <rPr>
        <sz val="11"/>
        <color rgb="FF000000"/>
        <rFont val="Calibri"/>
      </rPr>
      <t xml:space="preserve"> = Jumlah PkM dengan sumber pembiayaan PT/mandiri dalam 3 tahun terakhir.</t>
    </r>
  </si>
  <si>
    <t>Publikasi ilmiah dengan tema yang relevan dengan bidang program studi yang dihasilkan DTPS dalam 3 tahun terakhir.
Tabel 3.b.4) LKPS</t>
  </si>
  <si>
    <r>
      <t>N</t>
    </r>
    <r>
      <rPr>
        <vertAlign val="subscript"/>
        <sz val="11"/>
        <color rgb="FF000000"/>
        <rFont val="Calibri"/>
      </rPr>
      <t>A1</t>
    </r>
    <r>
      <rPr>
        <sz val="11"/>
        <color rgb="FF000000"/>
        <rFont val="Calibri"/>
      </rPr>
      <t xml:space="preserve"> = Jumlah publikasi di jurnal nasional tidak terakreditasi.</t>
    </r>
  </si>
  <si>
    <r>
      <t>N</t>
    </r>
    <r>
      <rPr>
        <vertAlign val="subscript"/>
        <sz val="11"/>
        <color rgb="FF000000"/>
        <rFont val="Calibri"/>
      </rPr>
      <t>A2</t>
    </r>
    <r>
      <rPr>
        <sz val="11"/>
        <color rgb="FF000000"/>
        <rFont val="Calibri"/>
      </rPr>
      <t xml:space="preserve"> = Jumlah publikasi di jurnal nasional terakreditasi.</t>
    </r>
  </si>
  <si>
    <r>
      <t>N</t>
    </r>
    <r>
      <rPr>
        <vertAlign val="subscript"/>
        <sz val="11"/>
        <color rgb="FF000000"/>
        <rFont val="Calibri"/>
      </rPr>
      <t>A3</t>
    </r>
    <r>
      <rPr>
        <sz val="11"/>
        <color rgb="FF000000"/>
        <rFont val="Calibri"/>
      </rPr>
      <t xml:space="preserve"> = Jumlah publikasi di jurnal internasional.</t>
    </r>
  </si>
  <si>
    <r>
      <t>N</t>
    </r>
    <r>
      <rPr>
        <vertAlign val="subscript"/>
        <sz val="11"/>
        <color rgb="FF000000"/>
        <rFont val="Calibri"/>
      </rPr>
      <t>A4</t>
    </r>
    <r>
      <rPr>
        <sz val="11"/>
        <color rgb="FF000000"/>
        <rFont val="Calibri"/>
      </rPr>
      <t xml:space="preserve"> = Jumlah publikasi di jurnal internasional bereputasi.</t>
    </r>
  </si>
  <si>
    <r>
      <t>N</t>
    </r>
    <r>
      <rPr>
        <vertAlign val="subscript"/>
        <sz val="11"/>
        <color rgb="FF000000"/>
        <rFont val="Calibri"/>
      </rPr>
      <t>B1</t>
    </r>
    <r>
      <rPr>
        <sz val="11"/>
        <color rgb="FF000000"/>
        <rFont val="Calibri"/>
      </rPr>
      <t xml:space="preserve"> = Jumlah publikasi di seminar wilayah/lokal/PT.</t>
    </r>
  </si>
  <si>
    <r>
      <t>N</t>
    </r>
    <r>
      <rPr>
        <vertAlign val="subscript"/>
        <sz val="11"/>
        <color rgb="FF000000"/>
        <rFont val="Calibri"/>
      </rPr>
      <t>B2</t>
    </r>
    <r>
      <rPr>
        <sz val="11"/>
        <color rgb="FF000000"/>
        <rFont val="Calibri"/>
      </rPr>
      <t xml:space="preserve"> = Jumlah publikasi di seminar nasional.</t>
    </r>
  </si>
  <si>
    <r>
      <t>N</t>
    </r>
    <r>
      <rPr>
        <vertAlign val="subscript"/>
        <sz val="11"/>
        <color rgb="FF000000"/>
        <rFont val="Calibri"/>
      </rPr>
      <t>B3</t>
    </r>
    <r>
      <rPr>
        <sz val="11"/>
        <color rgb="FF000000"/>
        <rFont val="Calibri"/>
      </rPr>
      <t xml:space="preserve"> = Jumlah publikasi di seminar internasional.</t>
    </r>
  </si>
  <si>
    <r>
      <t>N</t>
    </r>
    <r>
      <rPr>
        <vertAlign val="subscript"/>
        <sz val="11"/>
        <color rgb="FF000000"/>
        <rFont val="Calibri"/>
      </rPr>
      <t>C1</t>
    </r>
    <r>
      <rPr>
        <sz val="11"/>
        <color rgb="FF000000"/>
        <rFont val="Calibri"/>
      </rPr>
      <t xml:space="preserve"> = Jumlah tulisan di media massa wilayah.</t>
    </r>
  </si>
  <si>
    <r>
      <t>N</t>
    </r>
    <r>
      <rPr>
        <vertAlign val="subscript"/>
        <sz val="11"/>
        <color rgb="FF000000"/>
        <rFont val="Calibri"/>
      </rPr>
      <t>C2</t>
    </r>
    <r>
      <rPr>
        <sz val="11"/>
        <color rgb="FF000000"/>
        <rFont val="Calibri"/>
      </rPr>
      <t xml:space="preserve"> = Jumlah tulisan di media massa nasional.</t>
    </r>
  </si>
  <si>
    <r>
      <t>N</t>
    </r>
    <r>
      <rPr>
        <vertAlign val="subscript"/>
        <sz val="11"/>
        <color rgb="FF000000"/>
        <rFont val="Calibri"/>
      </rPr>
      <t>C3</t>
    </r>
    <r>
      <rPr>
        <sz val="11"/>
        <color rgb="FF000000"/>
        <rFont val="Calibri"/>
      </rPr>
      <t xml:space="preserve"> = Jumlah tulisan di media massa internasional.</t>
    </r>
  </si>
  <si>
    <r>
      <t>R</t>
    </r>
    <r>
      <rPr>
        <vertAlign val="subscript"/>
        <sz val="11"/>
        <color rgb="FF000000"/>
        <rFont val="Calibri"/>
      </rPr>
      <t>I</t>
    </r>
    <r>
      <rPr>
        <sz val="11"/>
        <color rgb="FF000000"/>
        <rFont val="Calibri"/>
      </rPr>
      <t xml:space="preserve"> = (N</t>
    </r>
    <r>
      <rPr>
        <vertAlign val="subscript"/>
        <sz val="11"/>
        <color rgb="FF000000"/>
        <rFont val="Calibri"/>
      </rPr>
      <t>A4</t>
    </r>
    <r>
      <rPr>
        <sz val="11"/>
        <color rgb="FF000000"/>
        <rFont val="Calibri"/>
      </rPr>
      <t xml:space="preserve"> + N</t>
    </r>
    <r>
      <rPr>
        <vertAlign val="subscript"/>
        <sz val="11"/>
        <color rgb="FF000000"/>
        <rFont val="Calibri"/>
      </rPr>
      <t>B3</t>
    </r>
    <r>
      <rPr>
        <sz val="11"/>
        <color rgb="FF000000"/>
        <rFont val="Calibri"/>
      </rPr>
      <t xml:space="preserve"> + N</t>
    </r>
    <r>
      <rPr>
        <vertAlign val="subscript"/>
        <sz val="11"/>
        <color rgb="FF000000"/>
        <rFont val="Calibri"/>
      </rPr>
      <t>C3</t>
    </r>
    <r>
      <rPr>
        <sz val="11"/>
        <color rgb="FF000000"/>
        <rFont val="Calibri"/>
      </rPr>
      <t>) / N</t>
    </r>
    <r>
      <rPr>
        <vertAlign val="subscript"/>
        <sz val="11"/>
        <color rgb="FF000000"/>
        <rFont val="Calibri"/>
      </rPr>
      <t>DTPS</t>
    </r>
  </si>
  <si>
    <r>
      <t>R</t>
    </r>
    <r>
      <rPr>
        <vertAlign val="subscript"/>
        <sz val="11"/>
        <color rgb="FF000000"/>
        <rFont val="Calibri"/>
      </rPr>
      <t>N</t>
    </r>
    <r>
      <rPr>
        <sz val="11"/>
        <color rgb="FF000000"/>
        <rFont val="Calibri"/>
      </rPr>
      <t xml:space="preserve"> = (N</t>
    </r>
    <r>
      <rPr>
        <vertAlign val="subscript"/>
        <sz val="11"/>
        <color rgb="FF000000"/>
        <rFont val="Calibri"/>
      </rPr>
      <t>A2</t>
    </r>
    <r>
      <rPr>
        <sz val="11"/>
        <color rgb="FF000000"/>
        <rFont val="Calibri"/>
      </rPr>
      <t xml:space="preserve"> + N</t>
    </r>
    <r>
      <rPr>
        <vertAlign val="subscript"/>
        <sz val="11"/>
        <color rgb="FF000000"/>
        <rFont val="Calibri"/>
      </rPr>
      <t>A3</t>
    </r>
    <r>
      <rPr>
        <sz val="11"/>
        <color rgb="FF000000"/>
        <rFont val="Calibri"/>
      </rPr>
      <t xml:space="preserve"> + N</t>
    </r>
    <r>
      <rPr>
        <vertAlign val="subscript"/>
        <sz val="11"/>
        <color rgb="FF000000"/>
        <rFont val="Calibri"/>
      </rPr>
      <t>B2</t>
    </r>
    <r>
      <rPr>
        <sz val="11"/>
        <color rgb="FF000000"/>
        <rFont val="Calibri"/>
      </rPr>
      <t xml:space="preserve"> + N</t>
    </r>
    <r>
      <rPr>
        <vertAlign val="subscript"/>
        <sz val="11"/>
        <color rgb="FF000000"/>
        <rFont val="Calibri"/>
      </rPr>
      <t>C2</t>
    </r>
    <r>
      <rPr>
        <sz val="11"/>
        <color rgb="FF000000"/>
        <rFont val="Calibri"/>
      </rPr>
      <t>) / N</t>
    </r>
    <r>
      <rPr>
        <vertAlign val="subscript"/>
        <sz val="11"/>
        <color rgb="FF000000"/>
        <rFont val="Calibri"/>
      </rPr>
      <t>DTPS</t>
    </r>
  </si>
  <si>
    <r>
      <t>R</t>
    </r>
    <r>
      <rPr>
        <vertAlign val="subscript"/>
        <sz val="11"/>
        <color rgb="FF000000"/>
        <rFont val="Calibri"/>
      </rPr>
      <t>W</t>
    </r>
    <r>
      <rPr>
        <sz val="11"/>
        <color rgb="FF000000"/>
        <rFont val="Calibri"/>
      </rPr>
      <t xml:space="preserve"> = (N</t>
    </r>
    <r>
      <rPr>
        <vertAlign val="subscript"/>
        <sz val="11"/>
        <color rgb="FF000000"/>
        <rFont val="Calibri"/>
      </rPr>
      <t>A1</t>
    </r>
    <r>
      <rPr>
        <sz val="11"/>
        <color rgb="FF000000"/>
        <rFont val="Calibri"/>
      </rPr>
      <t xml:space="preserve"> + N</t>
    </r>
    <r>
      <rPr>
        <vertAlign val="subscript"/>
        <sz val="11"/>
        <color rgb="FF000000"/>
        <rFont val="Calibri"/>
      </rPr>
      <t>B1</t>
    </r>
    <r>
      <rPr>
        <sz val="11"/>
        <color rgb="FF000000"/>
        <rFont val="Calibri"/>
      </rPr>
      <t xml:space="preserve"> + N</t>
    </r>
    <r>
      <rPr>
        <vertAlign val="subscript"/>
        <sz val="11"/>
        <color rgb="FF000000"/>
        <rFont val="Calibri"/>
      </rPr>
      <t>C1</t>
    </r>
    <r>
      <rPr>
        <sz val="11"/>
        <color rgb="FF000000"/>
        <rFont val="Calibri"/>
      </rPr>
      <t>) / N</t>
    </r>
    <r>
      <rPr>
        <vertAlign val="subscript"/>
        <sz val="11"/>
        <color rgb="FF000000"/>
        <rFont val="Calibri"/>
      </rPr>
      <t>DTPS</t>
    </r>
  </si>
  <si>
    <t>Artikel karya ilmiah DTPS yang disitasi dalam 3 tahun terakhir.
Tabel 3.b.5) LKPS</t>
  </si>
  <si>
    <r>
      <t>N</t>
    </r>
    <r>
      <rPr>
        <vertAlign val="subscript"/>
        <sz val="11"/>
        <color rgb="FF000000"/>
        <rFont val="Calibri"/>
      </rPr>
      <t>AS</t>
    </r>
    <r>
      <rPr>
        <sz val="11"/>
        <color rgb="FF000000"/>
        <rFont val="Calibri"/>
      </rPr>
      <t xml:space="preserve"> = Jumlah judul artikel yang disitasi.</t>
    </r>
  </si>
  <si>
    <r>
      <t>R</t>
    </r>
    <r>
      <rPr>
        <vertAlign val="subscript"/>
        <sz val="11"/>
        <color rgb="FF000000"/>
        <rFont val="Calibri"/>
      </rPr>
      <t>S</t>
    </r>
    <r>
      <rPr>
        <sz val="11"/>
        <color rgb="FF000000"/>
        <rFont val="Calibri"/>
      </rPr>
      <t xml:space="preserve"> = N</t>
    </r>
    <r>
      <rPr>
        <vertAlign val="subscript"/>
        <sz val="11"/>
        <color rgb="FF000000"/>
        <rFont val="Calibri"/>
      </rPr>
      <t>AS</t>
    </r>
    <r>
      <rPr>
        <sz val="11"/>
        <color rgb="FF000000"/>
        <rFont val="Calibri"/>
      </rPr>
      <t xml:space="preserve"> / N</t>
    </r>
    <r>
      <rPr>
        <vertAlign val="subscript"/>
        <sz val="11"/>
        <color rgb="FF000000"/>
        <rFont val="Calibri"/>
      </rPr>
      <t>DTPS</t>
    </r>
  </si>
  <si>
    <t>Luaran penelitian dan PkM yang dihasilkan DTPS dalam 3 tahun terakhir.
Tabel 3.b.7) LKPS</t>
  </si>
  <si>
    <r>
      <t>N</t>
    </r>
    <r>
      <rPr>
        <vertAlign val="subscript"/>
        <sz val="11"/>
        <color rgb="FF000000"/>
        <rFont val="Calibri"/>
      </rPr>
      <t>A</t>
    </r>
    <r>
      <rPr>
        <sz val="11"/>
        <color rgb="FF000000"/>
        <rFont val="Calibri"/>
      </rPr>
      <t xml:space="preserve"> = Jumlah luaran penelitian/PkM yang mendapat pengakuan HKI (Paten, Paten Sederhana)</t>
    </r>
  </si>
  <si>
    <r>
      <t>N</t>
    </r>
    <r>
      <rPr>
        <vertAlign val="subscript"/>
        <sz val="11"/>
        <color rgb="FF000000"/>
        <rFont val="Calibri"/>
      </rPr>
      <t>B</t>
    </r>
    <r>
      <rPr>
        <sz val="11"/>
        <color rgb="FF000000"/>
        <rFont val="Calibri"/>
      </rPr>
      <t xml:space="preserve"> = Jumlah luaran penelitian/PkM yang mendapat pengakuan HKI (Hak Cipta, Desain Produk Industri, Perlindungan Varietas Tanaman, Desain Tata Letak Sirkuit Terpadu, dll.)</t>
    </r>
  </si>
  <si>
    <r>
      <t>N</t>
    </r>
    <r>
      <rPr>
        <vertAlign val="subscript"/>
        <sz val="11"/>
        <color rgb="FF000000"/>
        <rFont val="Calibri"/>
      </rPr>
      <t>C</t>
    </r>
    <r>
      <rPr>
        <sz val="11"/>
        <color rgb="FF000000"/>
        <rFont val="Calibri"/>
      </rPr>
      <t xml:space="preserve"> = Jumlah luaran penelitian/PkM dalam bentuk Teknologi Tepat Guna, Produk (Produk Terstandarisasi, Produk Tersertifikasi), Karya Seni, Rekayasa Sosial.</t>
    </r>
  </si>
  <si>
    <r>
      <t>N</t>
    </r>
    <r>
      <rPr>
        <vertAlign val="subscript"/>
        <sz val="11"/>
        <color rgb="FF000000"/>
        <rFont val="Calibri"/>
      </rPr>
      <t>D</t>
    </r>
    <r>
      <rPr>
        <sz val="11"/>
        <color rgb="FF000000"/>
        <rFont val="Calibri"/>
      </rPr>
      <t xml:space="preserve"> = Jumlah luaran penelitian/PkM yang diterbitkan dalam bentuk Buku ber-ISBN, </t>
    </r>
    <r>
      <rPr>
        <i/>
        <sz val="11"/>
        <color rgb="FF000000"/>
        <rFont val="Calibri"/>
      </rPr>
      <t>Book Chapter</t>
    </r>
    <r>
      <rPr>
        <sz val="11"/>
        <color rgb="FF000000"/>
        <rFont val="Calibri"/>
      </rPr>
      <t>.</t>
    </r>
  </si>
  <si>
    <r>
      <t>R</t>
    </r>
    <r>
      <rPr>
        <vertAlign val="subscript"/>
        <sz val="11"/>
        <color rgb="FF000000"/>
        <rFont val="Calibri"/>
      </rPr>
      <t>LP</t>
    </r>
    <r>
      <rPr>
        <sz val="11"/>
        <color rgb="FF000000"/>
        <rFont val="Calibri"/>
      </rPr>
      <t xml:space="preserve"> = (2 x (N</t>
    </r>
    <r>
      <rPr>
        <vertAlign val="subscript"/>
        <sz val="11"/>
        <color rgb="FF000000"/>
        <rFont val="Calibri"/>
      </rPr>
      <t>A</t>
    </r>
    <r>
      <rPr>
        <sz val="11"/>
        <color rgb="FF000000"/>
        <rFont val="Calibri"/>
      </rPr>
      <t xml:space="preserve"> + N</t>
    </r>
    <r>
      <rPr>
        <vertAlign val="subscript"/>
        <sz val="11"/>
        <color rgb="FF000000"/>
        <rFont val="Calibri"/>
      </rPr>
      <t>B</t>
    </r>
    <r>
      <rPr>
        <sz val="11"/>
        <color rgb="FF000000"/>
        <rFont val="Calibri"/>
      </rPr>
      <t xml:space="preserve"> + N</t>
    </r>
    <r>
      <rPr>
        <vertAlign val="subscript"/>
        <sz val="11"/>
        <color rgb="FF000000"/>
        <rFont val="Calibri"/>
      </rPr>
      <t>C</t>
    </r>
    <r>
      <rPr>
        <sz val="11"/>
        <color rgb="FF000000"/>
        <rFont val="Calibri"/>
      </rPr>
      <t>) + N</t>
    </r>
    <r>
      <rPr>
        <vertAlign val="subscript"/>
        <sz val="11"/>
        <color rgb="FF000000"/>
        <rFont val="Calibri"/>
      </rPr>
      <t>D</t>
    </r>
    <r>
      <rPr>
        <sz val="11"/>
        <color rgb="FF000000"/>
        <rFont val="Calibri"/>
      </rPr>
      <t>) / N</t>
    </r>
    <r>
      <rPr>
        <vertAlign val="subscript"/>
        <sz val="11"/>
        <color rgb="FF000000"/>
        <rFont val="Calibri"/>
      </rPr>
      <t>DTPS</t>
    </r>
  </si>
  <si>
    <t>C.4.4.c) Pengembangan Dosen</t>
  </si>
  <si>
    <r>
      <t xml:space="preserve">Upaya pengembangan dosen.
Catatan: Jika Skor rata-rata butir Profil Dosen </t>
    </r>
    <r>
      <rPr>
        <sz val="11"/>
        <color rgb="FF000000"/>
        <rFont val="Calibri"/>
      </rPr>
      <t>≥</t>
    </r>
    <r>
      <rPr>
        <sz val="11"/>
        <color rgb="FF000000"/>
        <rFont val="Calibri"/>
      </rPr>
      <t xml:space="preserve"> 3,5 , maka Skor = 4.</t>
    </r>
  </si>
  <si>
    <t>Skor rata-rata butir Profil Dosen</t>
  </si>
  <si>
    <t>UPPS merencanakan dan mengembangkan DTPS mengikuti rencana pengembangan SDM di perguruan tinggi (Renstra PT) secara konsisten.</t>
  </si>
  <si>
    <t>UPPS merencanakan dan mengembangkan DTPS mengikuti rencana pengembangan SDM di perguruan tinggi (Renstra PT).</t>
  </si>
  <si>
    <t>UPPS mengembangkan DTPS mengikuti rencana pengembangan SDM di perguruan tinggi (Renstra PT).</t>
  </si>
  <si>
    <t>UPPS mengembangkan DTPS tidak mengikuti atau tidak sesuai dengan rencana pengembangan SDM di perguruan tinggi (Renstra PT).</t>
  </si>
  <si>
    <t>Perguruan tinggi dan/atau UPPS tidak memiliki rencana pengembangan SDM.</t>
  </si>
  <si>
    <t>C.4.4.d) Tenaga Kependidikan</t>
  </si>
  <si>
    <t>A. Kualifikasi dan kecukupan tenaga kependidikan berdasarkan jenis pekerjaannya (administrasi, pustakawan, teknisi, dll.)
Catatan: Penilaian kecukupan tidak hanya ditentukan oleh jumlah tenaga kependidikan, namun keberadaan dan pemanfaatan teknologi informasi dan komputer dalam proses administrasi dapat dijadikan pertimbangan untuk menilai efektifitas pekerjaan dan kebutuhan akan tenaga kependidikan.</t>
  </si>
  <si>
    <t>UPPS memiliki tenaga kependidikan yang memenuhi tingkat kecukupan dan kualifikasi berdasarkan kebutuhan layanan program studi dan mendukung pelaksanaan akademik, fungsi unit pengelola, serta pengembangan program studi.</t>
  </si>
  <si>
    <t>UPPS memiliki tenaga kependidikan yang memenuhi tingkat kecukupan dan kualifikasi berdasarkan kebutuhan layanan program studi dan mendukung pelaksanaan akademik dan fungsi unit pengelola.</t>
  </si>
  <si>
    <t>UPPS memiliki tenaga kependidikan yang memenuhi tingkat kecukupan dan kualifikasi berdasarkan kebutuhan layanan program studi dan mendukung pelaksanaan akademik.</t>
  </si>
  <si>
    <t>UPPS memiliki tenaga kependidikan yang memenuhi tingkat kecukupan dan/atau kualifikasi berdasarkan kebutuhan layanan program studi dan mendukung pelaksanaan akademik.</t>
  </si>
  <si>
    <t>UPPS memiliki tenaga kependidikan yang tidak memenuhi tingkat kecukupan dan kualifikasi berdasarkan kebutuhan layanan program studi.</t>
  </si>
  <si>
    <t>B. Kualifikasi dan kecukupan laboran untuk mendukung proses pembelajaran sesuai dengan kebutuhan program studi.</t>
  </si>
  <si>
    <t>UPPS memiliki jumlah laboran yang cukup terhadap jumlah laboratorium yang digunakan program studi, kualifikasinya sesuai
dengan laboratorium yang menjadi tanggungjawabnya, serta bersertifikat laboran dan bersertifikat kompetensi tertentu sesuai bidang tugasnya.</t>
  </si>
  <si>
    <t>UPPS memiliki jumlah laboran yang cukup terhadap jumlah laboratorium yang digunakan program studi, kualifikasinya sesuai
dengan laboratorium yang menjadi tanggungjawabnya, dan bersertifikat laboran atau bersertifikat kompetensi tertentu sesuai bidang tugasnya.</t>
  </si>
  <si>
    <t>UPPS memiliki jumlah laboran yang cukup terhadap jumlah laboratorium yang digunakan program studi dan kualifikasinya sesuai dengan laboratorium yang menjadi tanggungjawabnya.</t>
  </si>
  <si>
    <t>UPPS memiliki jumlah laboran yang cukup terhadap jumlah
laboratorium yang digunakan program studi.</t>
  </si>
  <si>
    <t>UPPS tidak memiliki laboran.</t>
  </si>
  <si>
    <t>Skor = (A + B) / 2</t>
  </si>
  <si>
    <r>
      <rPr>
        <b/>
        <sz val="11"/>
        <color rgb="FF000000"/>
        <rFont val="Calibri"/>
      </rPr>
      <t>C.5. Keuangan, Sarana dan Prasarana</t>
    </r>
    <r>
      <rPr>
        <sz val="11"/>
        <color rgb="FF000000"/>
        <rFont val="Calibri"/>
      </rPr>
      <t xml:space="preserve">
C.5.4. Indikator Kinerja Utama
C.5.4.a) Keuangan</t>
    </r>
  </si>
  <si>
    <t>Biaya operasional pendidikan.
Tabel 4 LKPS</t>
  </si>
  <si>
    <r>
      <t>B</t>
    </r>
    <r>
      <rPr>
        <vertAlign val="subscript"/>
        <sz val="11"/>
        <color rgb="FF000000"/>
        <rFont val="Calibri"/>
      </rPr>
      <t>OP</t>
    </r>
    <r>
      <rPr>
        <sz val="11"/>
        <color rgb="FF000000"/>
        <rFont val="Calibri"/>
      </rPr>
      <t xml:space="preserve"> = Biaya operasional pendidikan dalam 3 tahun terakhir.</t>
    </r>
  </si>
  <si>
    <r>
      <t>N</t>
    </r>
    <r>
      <rPr>
        <vertAlign val="subscript"/>
        <sz val="11"/>
        <color rgb="FF000000"/>
        <rFont val="Calibri"/>
      </rPr>
      <t>M</t>
    </r>
    <r>
      <rPr>
        <sz val="11"/>
        <color rgb="FF000000"/>
        <rFont val="Calibri"/>
      </rPr>
      <t xml:space="preserve"> = Jumlah mahasiswa aktif pada saat TS.</t>
    </r>
  </si>
  <si>
    <r>
      <t>D</t>
    </r>
    <r>
      <rPr>
        <vertAlign val="subscript"/>
        <sz val="11"/>
        <color rgb="FF000000"/>
        <rFont val="Calibri"/>
      </rPr>
      <t>OP</t>
    </r>
    <r>
      <rPr>
        <sz val="11"/>
        <color rgb="FF000000"/>
        <rFont val="Calibri"/>
      </rPr>
      <t xml:space="preserve"> = Rata-rata dana operasional pendidikan/mahasiswa/ tahun dalam 3 tahun terakhir = B</t>
    </r>
    <r>
      <rPr>
        <vertAlign val="subscript"/>
        <sz val="11"/>
        <color rgb="FF000000"/>
        <rFont val="Calibri"/>
      </rPr>
      <t>OP</t>
    </r>
    <r>
      <rPr>
        <sz val="11"/>
        <color rgb="FF000000"/>
        <rFont val="Calibri"/>
      </rPr>
      <t xml:space="preserve"> / 3 / N</t>
    </r>
    <r>
      <rPr>
        <vertAlign val="subscript"/>
        <sz val="11"/>
        <color rgb="FF000000"/>
        <rFont val="Calibri"/>
      </rPr>
      <t>M</t>
    </r>
  </si>
  <si>
    <t>Dana penelitian DTPS.
Tabel 4 LKPS</t>
  </si>
  <si>
    <r>
      <t>D</t>
    </r>
    <r>
      <rPr>
        <vertAlign val="subscript"/>
        <sz val="11"/>
        <color rgb="FF000000"/>
        <rFont val="Calibri"/>
      </rPr>
      <t>P</t>
    </r>
    <r>
      <rPr>
        <sz val="11"/>
        <color rgb="FF000000"/>
        <rFont val="Calibri"/>
      </rPr>
      <t xml:space="preserve"> = Jumlah dana penelitian yang diperoleh dosen tetap dalam 3 tahun terakhir.</t>
    </r>
  </si>
  <si>
    <r>
      <t>D</t>
    </r>
    <r>
      <rPr>
        <vertAlign val="subscript"/>
        <sz val="11"/>
        <color rgb="FF000000"/>
        <rFont val="Calibri"/>
      </rPr>
      <t>PD</t>
    </r>
    <r>
      <rPr>
        <sz val="11"/>
        <color rgb="FF000000"/>
        <rFont val="Calibri"/>
      </rPr>
      <t xml:space="preserve"> = Rata-rata dana penelitian DTPS/ tahun dalam 3 tahun terakhir = D</t>
    </r>
    <r>
      <rPr>
        <vertAlign val="subscript"/>
        <sz val="11"/>
        <color rgb="FF000000"/>
        <rFont val="Calibri"/>
      </rPr>
      <t>P</t>
    </r>
    <r>
      <rPr>
        <sz val="11"/>
        <color rgb="FF000000"/>
        <rFont val="Calibri"/>
      </rPr>
      <t xml:space="preserve"> / 3 / N</t>
    </r>
    <r>
      <rPr>
        <vertAlign val="subscript"/>
        <sz val="11"/>
        <color rgb="FF000000"/>
        <rFont val="Calibri"/>
      </rPr>
      <t>DTPS</t>
    </r>
  </si>
  <si>
    <t>Dana pengabdian kepada masyarakat DTPS.
Tabel 4 LKPS</t>
  </si>
  <si>
    <r>
      <t>D</t>
    </r>
    <r>
      <rPr>
        <vertAlign val="subscript"/>
        <sz val="11"/>
        <color rgb="FF000000"/>
        <rFont val="Calibri"/>
      </rPr>
      <t>PkM</t>
    </r>
    <r>
      <rPr>
        <sz val="11"/>
        <color rgb="FF000000"/>
        <rFont val="Calibri"/>
      </rPr>
      <t xml:space="preserve"> = Jumlah dana PkM yang diperoleh dosen tetap dalam 3 tahun terakhir.</t>
    </r>
  </si>
  <si>
    <r>
      <t>D</t>
    </r>
    <r>
      <rPr>
        <vertAlign val="subscript"/>
        <sz val="11"/>
        <color rgb="FF000000"/>
        <rFont val="Calibri"/>
      </rPr>
      <t>PkMD</t>
    </r>
    <r>
      <rPr>
        <sz val="11"/>
        <color rgb="FF000000"/>
        <rFont val="Calibri"/>
      </rPr>
      <t xml:space="preserve"> = Rata-rata dana PkM DTPS/ tahun dalam 3 tahun terakhir = D</t>
    </r>
    <r>
      <rPr>
        <vertAlign val="subscript"/>
        <sz val="11"/>
        <color rgb="FF000000"/>
        <rFont val="Calibri"/>
      </rPr>
      <t>PkM</t>
    </r>
    <r>
      <rPr>
        <sz val="11"/>
        <color rgb="FF000000"/>
        <rFont val="Calibri"/>
      </rPr>
      <t xml:space="preserve"> / 3 / N</t>
    </r>
    <r>
      <rPr>
        <vertAlign val="subscript"/>
        <sz val="11"/>
        <color rgb="FF000000"/>
        <rFont val="Calibri"/>
      </rPr>
      <t>DTPS</t>
    </r>
  </si>
  <si>
    <t>Realisasi investasi (SDM, sarana dan prasarana) yang mendukung penyelenggaraan tridharma.
Catatan: Jika Skor rata-rata butir tentang Profil Dosen, Sarana, dan Prasarana ≥ 3,5 , maka Skor butir ini = 4.</t>
  </si>
  <si>
    <t>Skor rata-rata butir Profil Dosen, Sarana dan Prasarana</t>
  </si>
  <si>
    <t>Persentase realisasi dana untuk investasi SDM serta Sarana dan Prasarana telah sesuai dengan perencanaan investasi serta melebihi standar pembelajaran, penelitian dan PkM untuk mendukung terciptanya suasana akademik yang sehat dan kondusif.</t>
  </si>
  <si>
    <t>Persentase realisasi dana untuk investasi SDM serta Sarana dan Prasarana telah sesuai dengan perencanaan investasi serta melebihi standar pembelajaran, penelitian dan PkM.</t>
  </si>
  <si>
    <t xml:space="preserve">Persentase realisasi dana untuk investasi SDM serta Sarana dan Prasarana telah sesuai dengan perencanaan investasi serta memenuhi standar pembelajaran, penelitian dan PkM.
</t>
  </si>
  <si>
    <t>Persentase realisasi dana untuk investasi SDM serta Sarana dan Prasarana kurang sesuai dengan perencanaan investasi.</t>
  </si>
  <si>
    <t>Tidak ada realisasi dana untuk investasi SDM serta Sarana dan Prasarana.</t>
  </si>
  <si>
    <t>Kecukupan dana untuk menjamin pencapaian capaian pembelajaran.</t>
  </si>
  <si>
    <t>Dana dapat menjamin keberlangsungan operasional tridharma, pengembangan 3 tahun terakhir serta memiliki kecukupan dana untuk rencana pengembangan 3 tahun ke depan yang didukung oleh sumber pendanaan yang realistis.</t>
  </si>
  <si>
    <t>Dana dapat menjamin keberlangsungan operasional tridharma serta pengembangan 3 tahun terakhir.</t>
  </si>
  <si>
    <t>Dana dapat menjamin keberlangsungan operasional tridharma dan sebagian kecil pengembangan.</t>
  </si>
  <si>
    <t>Dana  dapat menjamin keberlangsungan operasional dan tidak ada untuk pengembangan.</t>
  </si>
  <si>
    <t>Dana tidak mencukupi untuk keperluan operasional.</t>
  </si>
  <si>
    <t>C.5.4.b) Sarana dan Prasarana</t>
  </si>
  <si>
    <t>Kecukupan, aksesibilitas dan mutu sarana dan prasarana untuk menjamin pencapaian capaian pembelajaran dan meningkatkan suasana akademik.</t>
  </si>
  <si>
    <t>UPPS menyediakan sarana dan prasarana yang mutakhir serta aksesibiltas yang cukup untuk menjamin pencapaian capaian pembelajaran dan meningkatkan suasana akademik.</t>
  </si>
  <si>
    <t>UPPS menyediakan sarana dan prasarana serta aksesibiltas yang cukup untuk menjamin pencapaian capaian pembelajaran dan meningkatkan suasana akademik.</t>
  </si>
  <si>
    <t xml:space="preserve">UPPS menyediakan sarana dan prasarana serta aksesibiltas yang cukup untuk menjamin pencapaian capaian pembelajaran.
</t>
  </si>
  <si>
    <t>UPPS menyediakan sarana dan prasarana serta aksesibiltas yang tidak cukup untuk menjamin pencapaian capaian pembelajaran.</t>
  </si>
  <si>
    <t>UPPS tidak memiliki sarana dan prasarana.</t>
  </si>
  <si>
    <r>
      <rPr>
        <b/>
        <sz val="11"/>
        <color rgb="FF000000"/>
        <rFont val="Calibri"/>
      </rPr>
      <t>C.6. Pendidikan</t>
    </r>
    <r>
      <rPr>
        <sz val="11"/>
        <color rgb="FF000000"/>
        <rFont val="Calibri"/>
      </rPr>
      <t xml:space="preserve">
C.6.4. Indikator Kinerja Utama
C.6.4.a) Kurikulum</t>
    </r>
  </si>
  <si>
    <t>A. Keterlibatan pemangku kepentingan dalam proses evaluasi dan pemutakhiran kurikulum.</t>
  </si>
  <si>
    <t xml:space="preserve">Evaluasi dan pemutakhiran kurikulum secara berkala tiap 4 s.d. 5 tahun yang melibatkan pemangku kepentingan internal dan eksternal, serta direview oleh pakar bidang ilmu program studi, industri, asosiasi, serta sesuai perkembangan ipteks dan kebutuhan pengguna. </t>
  </si>
  <si>
    <t>Evaluasi dan pemutakhiran kurikulum secara berkala tiap 4 s.d. 5 tahun yang melibatkan pemangku kepentingan internal dan eksternal.</t>
  </si>
  <si>
    <t>Evaluasi dan pemutakhiran kurikulum melibatkan pemangku kepentingan internal.</t>
  </si>
  <si>
    <t>Evaluasi dan pemutakhiran kurikulum tidak melibatkan seluruh pemangku  kepentingan internal.</t>
  </si>
  <si>
    <t>Evaluasi dan pemutakhiran kurikulum dilakukan oleh dosen program studi.</t>
  </si>
  <si>
    <t>B. Kesesuaian capaian pembelajaran dengan profil lulusan dan jenjang KKNI/SKKNI.</t>
  </si>
  <si>
    <t>Capaian pembelajaran diturunkan dari profil lulusan, mengacu pada hasil kesepakatan dengan asosiasi penyelenggara program studi sejenis dan organisasi profesi, dan memenuhi level KKNI, serta dimutakhirkan secara berkala tiap 4 s.d. 5 tahun sesuai perkembangan ipteks dan kebutuhan pengguna.</t>
  </si>
  <si>
    <t>Capaian pembelajaran diturunkan dari profil lulusan, memenuhi level KKNI, dan dimutakhirkan secara berkala tiap 4 s.d. 5 tahun sesuai perkembangan ipteks atau kebutuhan pengguna.</t>
  </si>
  <si>
    <t>Capaian pembelajaran diturunkan dari profil lulusan dan memenuhi level KKNI.</t>
  </si>
  <si>
    <t>Capaian pembelajaran diturunkan dari profil lulusan dan tidak memenuhi level KKNI.</t>
  </si>
  <si>
    <t>Capaian pembelajaran tidak diturunkan dari profil lulusan dan tidak memenuhi level KKNI.</t>
  </si>
  <si>
    <t>C. Ketepatan struktur kurikulum dalam pembentukan capaian pembelajaran.</t>
  </si>
  <si>
    <t>Struktur kurikulum memuat keterkaitan antara matakuliah dengan capaian pembelajaran lulusan yang digambarkan dalam peta kurikulum yang jelas, capaian pembelajaran lulusan dipenuhi oleh seluruh capaian pembelajaran matakuliah, serta tidak ada capaian pembelajaran matakuliah yang tidak mendukung capaian pembelajaran lulusan.</t>
  </si>
  <si>
    <t>Struktur kurikulum memuat keterkaitan antara matakuliah dengan capaian pembelajaran lulusan yang digambarkan dalam peta kurikulum yang jelas, capaian pembelajaran lulusan dipenuhi oleh seluruh capaian pembelajaran matakuliah.</t>
  </si>
  <si>
    <t>Struktur kurikulum memuat keterkaitan antara matakuliah dengan capaian pembelajaran lulusan yang digambarkan dalam peta kurikulum yang jelas.</t>
  </si>
  <si>
    <t>Struktur kurikulum tidak sesuai dengan capaian pembelajaran lulusan.</t>
  </si>
  <si>
    <t>Skor = (A + (2 x B) + (2 x C)) / 5</t>
  </si>
  <si>
    <t>C.6.4.b) Karakteristik Proses Pembelajaran</t>
  </si>
  <si>
    <t>Pemenuhan karakteristik proses pembelajaran, yang terdiri atas sifat: 1) interaktif, 2) holistik, 3) integratif, 4) saintifik, 5) kontekstual, 6) tematik, 7) efektif, 8) kolaboratif, dan 9) berpusat pada mahasiswa.</t>
  </si>
  <si>
    <t xml:space="preserve">Terpenuhinya karakteristik proses pembelajaran program studi yang mencakup seluruh sifat, dan telah menghasilkan profil lulusan yang sesuai dengan capaian pembelajaran. </t>
  </si>
  <si>
    <t xml:space="preserve">Terpenuhinya karakteristik proses pembelajaran program studi yang berpusat pada mahasiswa, dan telah menghasilkan profil lulusan yang sesuai dengan capaian pembelajaran. </t>
  </si>
  <si>
    <t>Karakteristik proses pembelajaran program studi berpusat pada mahasiswa yang diterapkan pada minimal 50% matakuliah.</t>
  </si>
  <si>
    <t>Karakteristik proses pembelajaran program studi belum berpusat pada mahasiswa.</t>
  </si>
  <si>
    <t>C.6.4.c) Rencana Proses Pembelajaran</t>
  </si>
  <si>
    <t xml:space="preserve">A. Ketersediaan dan kelengkapan dokumen rencana pembelajaran semester (RPS) </t>
  </si>
  <si>
    <t>Dokumen RPS mencakup target capaian pembelajaran, bahan kajian, metode pembelajaran, waktu dan tahapan, asesmen hasil capaian pembelajaran. RPS ditinjau dan disesuaikan secara berkala serta dapat diakses oleh mahasiswa, dilaksanakan secara konsisten.</t>
  </si>
  <si>
    <t>Dokumen RPS mencakup target capaian pembelajaran, bahan kajian, metode pembelajaran, waktu dan tahapan, asesmen hasil capaian pembelajaran. RPS ditinjau dan disesuaikan secara berkala serta dapat diakses oleh mahasiswa.</t>
  </si>
  <si>
    <t xml:space="preserve">Dokumen RPS mencakup target capaian pembelajaran, bahan kajian, metode pembelajaran, waktu dan tahapan, asesmen hasil capaian pembelajaran. RPS ditinjau dan disesuaikan secara berkala.  </t>
  </si>
  <si>
    <t>Dokumen RPS mencakup target capaian pembelajaran, bahan kajian, metode pembelajaran, waktu dan tahapan, asesmen hasil capaian pembelajaran atau tidak semua matakuliah memiliki RPS.</t>
  </si>
  <si>
    <t>Tidak memiliki dokumen RPS.</t>
  </si>
  <si>
    <t>B. Kedalaman dan keluasan RPS sesuai dengan capaian pembelajaran lulusan.</t>
  </si>
  <si>
    <t xml:space="preserve">Isi materi pembelajaran sesuai dengan RPS, memiliki kedalaman dan keluasan yang relevan untuk mencapai capaian pembelajaran lulusan, serta ditinjau ulang secara berkala. </t>
  </si>
  <si>
    <t xml:space="preserve">Isi materi pembelajaran sesuai dengan RPS, memiliki kedalaman dan keluasan yang relevan untuk mencapai capaian pembelajaran lulusan. </t>
  </si>
  <si>
    <t xml:space="preserve">Isi materi pembelajaran memiliki kedalaman dan keluasan sesuai dengan capaian pembelajaran lulusan. </t>
  </si>
  <si>
    <t xml:space="preserve">Isi materi pembelajaran memiliki kedalaman dan keluasan namun sebagian tidak sesuai dengan capaian pembelajaran lulusan. </t>
  </si>
  <si>
    <t xml:space="preserve">Isi materi pembelajaran tidak sesuai dengan capaian pembelajaran lulusan. </t>
  </si>
  <si>
    <t>C.6.4.d) Pelaksanaan Proses Pembelajaran</t>
  </si>
  <si>
    <t>A. Bentuk interaksi antara dosen, mahasiswa dan sumber belajar</t>
  </si>
  <si>
    <t>Pelaksanaan pembelajaran berlangsung dalam bentuk interaksi antara dosen, mahasiswa, dan sumber belajar dalam lingkungan belajar tertentu secara on-line dan off-line dalam bentuk audio-visual terdokumentasi.</t>
  </si>
  <si>
    <t>Pelaksanaan pembelajaran berlangsung dalam bentuk interaksi antara dosen, mahasiswa, dan sumber belajar dalam lingkungan belajar tertentu secara on-line dan off-line.</t>
  </si>
  <si>
    <t>Pelaksanaan pembelajaran berlangsung dalam bentuk interaksi antara dosen, mahasiswa, dan sumber belajar dalam lingkungan belajar tertentu.</t>
  </si>
  <si>
    <t>Pelaksanaan pembelajaran berlangsung hanya sebagian dalam bentuk interaksi antara dosen, mahasiswa, dan sumber belajar dalam lingkungan belajar tertentu.</t>
  </si>
  <si>
    <t>Pelaksanaan pembelajaran tidak berlangsung dalam bentuk interaksi antara dosen dan mahasiswa</t>
  </si>
  <si>
    <t>B. Pemantauan kesesuaian proses terhadap rencana pembelajaran</t>
  </si>
  <si>
    <t>Memiliki bukti sahih adanya sistem dan pelaksanaan pemantauan proses pembelajaran yang dilaksanakan secara periodik untuk menjamin kesesuaian dengan RPS dalam rangka menjaga mutu proses pembelajaran. Hasil monev  terdokumentasi dengan baik dan digunakan untuk meningkatkan mutu proses pembelajaran.</t>
  </si>
  <si>
    <t>Memiliki bukti sahih adanya sistem dan  pelaksanaan pemantauan proses pembelajaran yang dilaksanakan secara periodik untuk menjamin kesesuaian dengan RPS dalam rangka menjaga mutu proses pembelajaran. Hasil monev  terdokumentasi dengan baik.</t>
  </si>
  <si>
    <t xml:space="preserve">Memiliki bukti sahih adanya sistem dan pelaksanaan pemantauan proses pembelajaran yang dilaksanakan secara periodik untuk mengukur kesesuaian terhadap RPS. </t>
  </si>
  <si>
    <t>Memiliki bukti sahih adanya sistem pemantauan proses pembelajaran namun tidak dilaksanakan secara konsisten.</t>
  </si>
  <si>
    <t>Tidak memiliki bukti sahih adanya sistem dan pelaksanaan pemantauan proses pembelajaran.</t>
  </si>
  <si>
    <t>C. Proses pembelajaran yang terkait dengan penelitian harus mengacu SN Dikti Penelitian: 1) hasil penelitian: harus memenuhi pengembangan IPTEKS, meningkatkan kesejahteraan masyarakat, dan daya saing bangsa. 2) isi penelitian: memenuhi kedalaman dan keluasan materi penelitian sesuai capaian pembelajaran. 3) proses penelitian: mencakup perencanaan, pelaksanaan, dan pelaporan. 4) penilaian penelitian memenuhi unsur edukatif, obyektif, akuntabel, dan transparan.</t>
  </si>
  <si>
    <t>Terdapat bukti sahih tentang pemenuhan SN Dikti Penelitian pada proses pembelajaran terkait penelitian serta pemenuhan SN Dikti Penelitian pada proses pembelajaran terkait penelitian.</t>
  </si>
  <si>
    <t>Tidak ada Skor antara 2 dan 4.</t>
  </si>
  <si>
    <t>Terdapat bukti sahih tentang pemenuhan SN Dikti Penelitian pada proses pembelajaran terkait penelitian namun tidak memenuhi SN Dikti Penelitian pada proses pembelajaran terkait penelitian.</t>
  </si>
  <si>
    <t>D. Proses pembelajaran yang terkait dengan PkM harus mengacu SN Dikti PkM: 1) hasil PkM: harus memenuhi pengembangan IPTEKS, meningkatkan kesejahteraan masyarakat, dan daya saing bangsa. 2) isi PkM: memenuhi kedalaman dan keluasan materi PkM sesuai capaian pembelajaran. 3) proses PkM:  mencakup perencanaan, pelaksanaan, dan pelaporan. 4) penilaian PkM memenuhi unsur edukatif, obyektif, akuntabel, dan transparan.</t>
  </si>
  <si>
    <t>Terdapat bukti sahih tentang pemenuhan SN Dikti PkM pada proses pembelajaran terkait PkM serta pemenuhan SN Dikti PkM pada proses pembelajaran terkait PkM.</t>
  </si>
  <si>
    <t>Terdapat bukti sahih tentang pemenuhan SN Dikti PkM pada proses pembelajaran terkait PkM namun tidak memenuhi SN Dikti PkM pada proses pembelajaran terkait PkM.</t>
  </si>
  <si>
    <t>E. Kesesuaian metode pembelajaran dengan capaian pembelajaran. Contoh: RBE (research based education), IBE (industry based education), teaching factory/teaching industry, dll.</t>
  </si>
  <si>
    <t>Terdapat bukti sahih yang menunjukkan metode pembelajaran yang dilaksanakan sesuai dengan capaian pembelajaran yang direncanakan pada 75% s.d. 100% mata kuliah.</t>
  </si>
  <si>
    <t>Terdapat bukti sahih yang menunjukkan metode pembelajaran yang dilaksanakan sesuai dengan capaian pembelajaran yang direncanakan pada 50 s.d. &lt; 75% mata kuliah.</t>
  </si>
  <si>
    <t>Terdapat bukti sahih yang menunjukkan metode pembelajaran yang dilaksanakan sesuai dengan capaian pembelajaran yang direncanakan pada 25 s.d. &lt; 50% mata kuliah.</t>
  </si>
  <si>
    <t>Terdapat bukti sahih yang menunjukkan metode pembelajaran yang dilaksanakan sesuai dengan capaian pembelajaran yang direncanakan pada &lt; 25% mata kuliah.</t>
  </si>
  <si>
    <t>Tidak terdapat bukti sahih yang menunjukkan metode pembelajaran yang dilaksanakan sesuai dengan capaian pembelajaran yang direncanakan.</t>
  </si>
  <si>
    <t>Skor = (A + (2 x B) + (2 x C) + (2 x D) + (2 x E)) / 9</t>
  </si>
  <si>
    <t>Pembelajaran yang dilaksanakan dalam bentuk praktikum, praktik studio, praktik bengkel, atau praktik lapangan.
Tabel 5.a LKPS</t>
  </si>
  <si>
    <r>
      <t>J</t>
    </r>
    <r>
      <rPr>
        <vertAlign val="subscript"/>
        <sz val="11"/>
        <color rgb="FF000000"/>
        <rFont val="Calibri"/>
      </rPr>
      <t>P</t>
    </r>
    <r>
      <rPr>
        <sz val="11"/>
        <color rgb="FF000000"/>
        <rFont val="Calibri"/>
      </rPr>
      <t xml:space="preserve"> = Jam pembelajaran praktikum, praktik studio, praktik bengkel, atau praktik lapangan (termasuk KKN)</t>
    </r>
  </si>
  <si>
    <r>
      <t>J</t>
    </r>
    <r>
      <rPr>
        <vertAlign val="subscript"/>
        <sz val="11"/>
        <color rgb="FF000000"/>
        <rFont val="Calibri"/>
      </rPr>
      <t>B</t>
    </r>
    <r>
      <rPr>
        <sz val="11"/>
        <color rgb="FF000000"/>
        <rFont val="Calibri"/>
      </rPr>
      <t xml:space="preserve"> = Jam pembelajaran total selama masa pendidikan.</t>
    </r>
  </si>
  <si>
    <r>
      <t>P</t>
    </r>
    <r>
      <rPr>
        <vertAlign val="subscript"/>
        <sz val="11"/>
        <color rgb="FF000000"/>
        <rFont val="Calibri"/>
      </rPr>
      <t>JP</t>
    </r>
    <r>
      <rPr>
        <sz val="11"/>
        <color rgb="FF000000"/>
        <rFont val="Calibri"/>
      </rPr>
      <t xml:space="preserve"> = (J</t>
    </r>
    <r>
      <rPr>
        <vertAlign val="subscript"/>
        <sz val="11"/>
        <color rgb="FF000000"/>
        <rFont val="Calibri"/>
      </rPr>
      <t>P</t>
    </r>
    <r>
      <rPr>
        <sz val="11"/>
        <color rgb="FF000000"/>
        <rFont val="Calibri"/>
      </rPr>
      <t xml:space="preserve"> / J</t>
    </r>
    <r>
      <rPr>
        <vertAlign val="subscript"/>
        <sz val="11"/>
        <color rgb="FF000000"/>
        <rFont val="Calibri"/>
      </rPr>
      <t>B</t>
    </r>
    <r>
      <rPr>
        <sz val="11"/>
        <color rgb="FF000000"/>
        <rFont val="Calibri"/>
      </rPr>
      <t>) x 100%</t>
    </r>
  </si>
  <si>
    <t>C.6.4.e) Monitoring dan Evaluasi Proses Pembelajaran</t>
  </si>
  <si>
    <t>Monitoring dan evaluasi pelaksanaan proses pembelajaran mencakup karakteristik, perencanaan, pelaksanaan, proses pembelajaran dan beban belajar mahasiswa untuk memperoleh capaian pembelajaran lulusan.</t>
  </si>
  <si>
    <t>UPPS memiliki bukti sahih tentang sistem dan pelaksanaan monitoring dan evaluasi proses pembelajaran mencakup karakteristik, perencanaan, pelaksanaan, proses pembelajaran dan beban belajar mahasiswa yang dilaksanakan secara konsisten dan ditindak lanjuti.</t>
  </si>
  <si>
    <t>UPPS memiliki bukti sahih tentang sistem dan pelaksanaan monitoring dan evaluasi proses pembelajaran mencakup karakteristik, perencanaan, pelaksanaan, proses pembelajaran dan beban belajar mahasiswa yang dilaksanakan secara konsisten.</t>
  </si>
  <si>
    <t>UPPS memiliki bukti sahih tentang sistem dan pelaksanaan monitoring dan evaluasi proses pembelajaran mencakup karakteristik, perencanaan, pelaksanaan, proses pembelajaran dan beban belajar mahasiswa.</t>
  </si>
  <si>
    <t>UPPS telah melaksanakan monitoring dan evaluasi proses pembelajaran mencakup karakteristik, perencanaan, pelaksanaan, proses pembelajaran dan beban belajar mahasiswa namun tidak semua didukung bukti sahih.</t>
  </si>
  <si>
    <t>UPPS tidak melaksanakan monitoring dan evaluasi proses pembelajaran mencakup karakteristik, perencanaan, pelaksanaan, proses pembelajaran dan beban belajar mahasiswa.</t>
  </si>
  <si>
    <t>C.6.4.f) Penilaian Pembelajaran</t>
  </si>
  <si>
    <t>A. Mutu pelaksanaan penilaian pembelajaran (proses dan hasil belajar mahasiswa) untuk mengukur ketercapaian capaian pembelajaran berdasarkan prinsip penilaian yang mencakup: 1) edukatif, 2) otentik, 3) objektif, 4) akuntabel, dan 5) transparan, yang dilakukan secara terintegrasi.</t>
  </si>
  <si>
    <t>Terdapat bukti sahih tentang dipenuhinya 5 prinsip penilaian yang dilakukan secara terintegrasi dan dilengkapi dengan rubrik/portofolio penilaian minimum 70% jumlah matakuliah.</t>
  </si>
  <si>
    <t>Terdapat bukti sahih tentang dipenuhinya 5 prinsip penilaian yang  dilakukan secara terintegrasi dan dilengkapi dengan rubrik/portofolio penilaian minimum 50% jumlah matakuliah.</t>
  </si>
  <si>
    <t>Terdapat bukti sahih tentang dipenuhinya 5 prinsip penilaian yang dilakukan secara terintegrasi.</t>
  </si>
  <si>
    <t>Terdapat bukti sahih tentang dipenuhinya 5 prinsip penilaian yang tidak dilakukan secara terintegrasi.</t>
  </si>
  <si>
    <t>Tidak terdapat bukti sahih tentang dipenuhinya 5 prinsip penilaian.</t>
  </si>
  <si>
    <t>B. Pelaksanaan penilaian terdiri atas teknik dan instrumen penilaian. 
Teknik penilaian terdiri dari: 1) observasi, 2) partisipasi, 3) unjuk kerja, 4) test tertulis, 5) test lisan, dan 6) angket.
Instrumen penilaian terdiri dari: 1) penilaian proses dalam bentuk rubrik, dan/ atau; 2) penilaian hasil dalam bentuk portofolio, atau 3) karya disain.</t>
  </si>
  <si>
    <t xml:space="preserve">Terdapat bukti sahih yang menunjukkan kesesuaian teknik dan instrumen penilaian terhadap capaian pembelajaran minimum 75% s.d. 100% dari jumlah matakuliah. </t>
  </si>
  <si>
    <t xml:space="preserve">Terdapat bukti sahih yang menunjukkan kesesuaian teknik dan instrumen penilaian terhadap capaian pembelajaran minimum 50 s.d. &lt; 75% dari jumlah matakuliah.  </t>
  </si>
  <si>
    <t xml:space="preserve">Terdapat bukti sahih yang menunjukkan kesesuaian teknik dan instrumen penilaian terhadap capaian pembelajaran yang dinilai minimum 25 s.d. &lt; 50%  dari jumlah matakuliah.  </t>
  </si>
  <si>
    <t xml:space="preserve">Terdapat bukti sahih yang menunjukkan kesesuaian teknik dan instrumen penilaian terhadap capaian pembelajaran yang dinilai &lt; 25% dari jumlah matakuliah.  </t>
  </si>
  <si>
    <t>Tidak terdapat bukti sahih yang menunjukkan kesesuaian teknik dan instrumen penilaian terhadap capaian pembelajaran.</t>
  </si>
  <si>
    <t>C. Pelaksanaan penilaian memuat unsur-unsur sebagai berikut: 1) mempunyai kontrak rencana penilaian, 2) melaksanakan penilaian sesuai kontrak atau kesepakatan, 3) memberikan umpan balik dan memberi kesempatan untuk mempertanyakan hasil kepada mahasiswa, 4) mempunyai dokumentasi penilaian proses dan hasil belajar mahasiswa, 5) mempunyai prosedur yang mencakup tahap perencanaan, kegiatan pemberian tugas atau soal, observasi kinerja, pengembalian hasil observasi, dan pemberian nilai akhir, 6) pelaporan penilaian berupa kualifikasi keberhasilan mahasiswa dalam menempuh suatu mata kuliah dalam bentuk huruf dan angka, 7) mempunyai bukti-bukti rencana dan telah melakukan proses perbaikan berdasar hasil monev penilaian.</t>
  </si>
  <si>
    <t>C.6.4.g) Integrasi kegiatan penelitian dan PkM dalam pembelajaran</t>
  </si>
  <si>
    <t>Integrasi kegiatan penelitian dan PkM dalam pembelajaran oleh DTPS dalam 3 tahun terakhir.
Tabel 5.b LKPS</t>
  </si>
  <si>
    <t>MK = Jumlah mata kuliah yang dikembangkan berdasarkan hasil penelitian/PkM DTPS dalam 3 tahun terakhir.</t>
  </si>
  <si>
    <t>C.6.4.h) Suasana Akademik</t>
  </si>
  <si>
    <t>Keterlaksanaan dan keberkalaan program dan kegiatan diluar kegiatan pembelajaran terstruktur untuk meningkatkan suasana akademik.
Contoh: kegiatan himpunan mahasiswa, kuliah umum/studium generale, seminar ilmiah, bedah buku.</t>
  </si>
  <si>
    <t>Kegiatan ilmiah yang terjadwal dilaksanakan setiap bulan.</t>
  </si>
  <si>
    <t>Kegiatan ilmiah yang terjadwal dilaksanakan dua s.d tiga bulan sekali.</t>
  </si>
  <si>
    <t>Kegiatan ilmiah yang terjadwal dilaksanakan empat s.d. enam bulan sekali.</t>
  </si>
  <si>
    <t>Kegiatan ilmiah yang terjadwal dilaksanakan lebih dari enam bulan sekali.</t>
  </si>
  <si>
    <t>C.6.4.i) Kepuasan Mahasiswa</t>
  </si>
  <si>
    <r>
      <t>A. Tingkat kepuasan mahasiswa terhadap proses pendidikan.
Tabel 5.c LKPS
Aspek yang diukur: 1) Keandalan (</t>
    </r>
    <r>
      <rPr>
        <i/>
        <sz val="11"/>
        <color rgb="FF000000"/>
        <rFont val="Calibri"/>
      </rPr>
      <t>reliability</t>
    </r>
    <r>
      <rPr>
        <sz val="11"/>
        <color rgb="FF000000"/>
        <rFont val="Calibri"/>
      </rPr>
      <t>): kemampuan dosen, tenaga kependidikan, dan pengelola dalam memberikan pelayanan; 2) Daya tanggap (responsiveness): kemauan dari dosen, tenaga kependidikan, dan pengelola dalam membantu mahasiswa dan memberikan jasa dengan cepat; 3) Kepastian (assurance): kemampuan dosen, tenaga kependidikan, dan pengelola untuk memberi keyakinan kepada mahasiswa bahwa pelayanan yang diberikan telah sesuai dengan ketentuan; 4) Empati (empathy): kesediaan/kepedulian dosen, tenaga kependidikan, dan pengelola untuk memberi perhatian kepada mahasiswa; dan 5) Tangible: penilaian mahasiswa terhadap kecukupan, aksesibitas, kualitas sarana dan prasarana.</t>
    </r>
  </si>
  <si>
    <t>Reliability</t>
  </si>
  <si>
    <t>% Sangat Baik</t>
  </si>
  <si>
    <t>% Baik</t>
  </si>
  <si>
    <t>% Cukup</t>
  </si>
  <si>
    <t>% Kurang</t>
  </si>
  <si>
    <r>
      <t>TKM</t>
    </r>
    <r>
      <rPr>
        <vertAlign val="subscript"/>
        <sz val="11"/>
        <color rgb="FF000000"/>
        <rFont val="Calibri"/>
      </rPr>
      <t>1</t>
    </r>
  </si>
  <si>
    <t>Responsiveness</t>
  </si>
  <si>
    <r>
      <t>TKM</t>
    </r>
    <r>
      <rPr>
        <vertAlign val="subscript"/>
        <sz val="11"/>
        <color rgb="FF000000"/>
        <rFont val="Calibri"/>
      </rPr>
      <t>2</t>
    </r>
  </si>
  <si>
    <t>Assurance</t>
  </si>
  <si>
    <r>
      <t>TKM</t>
    </r>
    <r>
      <rPr>
        <vertAlign val="subscript"/>
        <sz val="11"/>
        <color rgb="FF000000"/>
        <rFont val="Calibri"/>
      </rPr>
      <t>3</t>
    </r>
  </si>
  <si>
    <t>Empathy</t>
  </si>
  <si>
    <r>
      <t>TKM</t>
    </r>
    <r>
      <rPr>
        <vertAlign val="subscript"/>
        <sz val="11"/>
        <color rgb="FF000000"/>
        <rFont val="Calibri"/>
      </rPr>
      <t>4</t>
    </r>
  </si>
  <si>
    <t>Tangible</t>
  </si>
  <si>
    <r>
      <t>TKM</t>
    </r>
    <r>
      <rPr>
        <vertAlign val="subscript"/>
        <sz val="11"/>
        <color rgb="FF000000"/>
        <rFont val="Calibri"/>
      </rPr>
      <t>5</t>
    </r>
  </si>
  <si>
    <r>
      <t>TKM = ƩTKM</t>
    </r>
    <r>
      <rPr>
        <vertAlign val="subscript"/>
        <sz val="11"/>
        <color rgb="FF000000"/>
        <rFont val="Calibri"/>
      </rPr>
      <t>i</t>
    </r>
    <r>
      <rPr>
        <sz val="11"/>
        <color rgb="FF000000"/>
        <rFont val="Calibri"/>
      </rPr>
      <t xml:space="preserve"> / 5</t>
    </r>
  </si>
  <si>
    <t>B. Analisis dan tindak lanjut dari hasil pengukuran kepuasan mahasiswa.</t>
  </si>
  <si>
    <t>Hasil pengukuran dianalisis dan ditindaklanjuti minimal 2 kali setiap semester, serta digunakan untuk perbaikan proses pembelajaran dan menunjukkan peningkatan hasil pembelajaran.</t>
  </si>
  <si>
    <t>Hasil pengukuran dianalisis dan ditindaklanjuti setiap semester, serta digunakan untuk perbaikan proses pembelajaran dan menunjukkan peningkatan hasil pembelajaran.</t>
  </si>
  <si>
    <t>Hasil pengukuran dianalisis dan ditindaklanjuti setiap tahun, serta digunakan untuk perbaikan proses pembelajaran.</t>
  </si>
  <si>
    <t>Hasil pengukuran dianalisis dan ditindaklanjuti, serta digunakan untuk perbaikan proses pembelajaran, namun dilakukan secara insidentil.</t>
  </si>
  <si>
    <t>Tidak dilakukan analisis terhadap hasil pengukuran kepuasan terhadap proses pembelajaran.</t>
  </si>
  <si>
    <r>
      <rPr>
        <b/>
        <sz val="11"/>
        <color rgb="FF000000"/>
        <rFont val="Calibri"/>
      </rPr>
      <t>C.7
Penelitian</t>
    </r>
    <r>
      <rPr>
        <sz val="11"/>
        <color rgb="FF000000"/>
        <rFont val="Calibri"/>
      </rPr>
      <t xml:space="preserve">
C.7.4
Indikator Kinerja Utama
C.7.4.a)
Relevansi Penelitian
</t>
    </r>
  </si>
  <si>
    <t>Relevansi penelitian pada UPPS mencakup unsur-unsur sebagai berikut: 
1) memiliki peta jalan yang memayungi tema penelitian dosen dan mahasiswa,
2) dosen dan mahasiswa melaksanakan penelitian sesuai dengan agenda penelitian dosen yang merujuk kepada peta jalan penelitian. 
3) melakukan evaluasi kesesuaian penelitian dosen dan mahasiswa dengan peta jalan, dan 
4) menggunakan hasil evaluasi untuk perbaikan relevansi penelitian dan pengembangan keilmuan program studi.</t>
  </si>
  <si>
    <t>UPPS memenuhi 4 unsur relevansi penelitian dosen dan mahasiswa.</t>
  </si>
  <si>
    <t>UPPS memenuhi  unsur 1, 2, dan 3 relevansi penelitian dosen dan mahasiswa.</t>
  </si>
  <si>
    <t>UPPS memenuhi  unsur 1, dan 2 relevansi penelitian dosen dan mahasiswa.</t>
  </si>
  <si>
    <t>UPPS memenuhi  unsur pertama namun penelitian dosen dan mahasiswa tidak sesuai dengan peta jalan.</t>
  </si>
  <si>
    <t>UPPS tidak mempunyai peta jalan penelitian dosen dan mahasiswa.</t>
  </si>
  <si>
    <t>C.7.4.b) Penelitian Dosen dan Mahasiswa</t>
  </si>
  <si>
    <t>Penelitian DTPS yang dalam pelaksanaannya melibatkan mahasiswa program studi dalam 3 tahun terakhir.
Tabel 6.a LKPS</t>
  </si>
  <si>
    <r>
      <t>N</t>
    </r>
    <r>
      <rPr>
        <vertAlign val="subscript"/>
        <sz val="11"/>
        <color rgb="FF000000"/>
        <rFont val="Calibri"/>
      </rPr>
      <t>PM</t>
    </r>
    <r>
      <rPr>
        <sz val="11"/>
        <color rgb="FF000000"/>
        <rFont val="Calibri"/>
      </rPr>
      <t xml:space="preserve"> = Jumlah judul penelitian DTPS yang dalam pelaksanaannya melibatkan mahasiswa program studi dalam 3 tahun terakhir.</t>
    </r>
  </si>
  <si>
    <r>
      <t>N</t>
    </r>
    <r>
      <rPr>
        <vertAlign val="subscript"/>
        <sz val="11"/>
        <color rgb="FF000000"/>
        <rFont val="Calibri"/>
      </rPr>
      <t>PD</t>
    </r>
    <r>
      <rPr>
        <sz val="11"/>
        <color rgb="FF000000"/>
        <rFont val="Calibri"/>
      </rPr>
      <t xml:space="preserve"> = Jumlah judul penelitian DTPS dalam 3 tahun terakhir. </t>
    </r>
  </si>
  <si>
    <r>
      <t>P</t>
    </r>
    <r>
      <rPr>
        <vertAlign val="subscript"/>
        <sz val="11"/>
        <color rgb="FF000000"/>
        <rFont val="Calibri"/>
      </rPr>
      <t>PDM</t>
    </r>
    <r>
      <rPr>
        <sz val="11"/>
        <color rgb="FF000000"/>
        <rFont val="Calibri"/>
      </rPr>
      <t xml:space="preserve"> = (N</t>
    </r>
    <r>
      <rPr>
        <vertAlign val="subscript"/>
        <sz val="11"/>
        <color rgb="FF000000"/>
        <rFont val="Calibri"/>
      </rPr>
      <t>PM</t>
    </r>
    <r>
      <rPr>
        <sz val="11"/>
        <color rgb="FF000000"/>
        <rFont val="Calibri"/>
      </rPr>
      <t xml:space="preserve"> / N</t>
    </r>
    <r>
      <rPr>
        <vertAlign val="subscript"/>
        <sz val="11"/>
        <color rgb="FF000000"/>
        <rFont val="Calibri"/>
      </rPr>
      <t>PkMD</t>
    </r>
    <r>
      <rPr>
        <sz val="11"/>
        <color rgb="FF000000"/>
        <rFont val="Calibri"/>
      </rPr>
      <t xml:space="preserve">) x 100% </t>
    </r>
  </si>
  <si>
    <r>
      <rPr>
        <b/>
        <sz val="11"/>
        <color rgb="FF000000"/>
        <rFont val="Calibri"/>
      </rPr>
      <t>C.8
Pengabdian kepada Masyarakat</t>
    </r>
    <r>
      <rPr>
        <sz val="11"/>
        <color rgb="FF000000"/>
        <rFont val="Calibri"/>
      </rPr>
      <t xml:space="preserve">
C.8.4
Indikator Kinerja Utama
C.8.4.a)
Relevansi PkM</t>
    </r>
  </si>
  <si>
    <t>Relevansi PkM pada UPPS mencakup unsur-unsur sebagai berikut: 
1) memiliki peta jalan yang memayungi tema PkM dosen dan mahasiswa serta hilirisasi/penerapan keilmuan program studi, 
2) dosen dan mahasiswa melaksanakan PkM sesuai dengan peta jalan PkM. 
3) melakukan evaluasi kesesuaian PkM dosen dan mahasiswa dengan peta jalan, dan 
4) menggunakan hasil evaluasi untuk perbaikan relevansi PkM dan pengembangan keilmuan program studi.</t>
  </si>
  <si>
    <t>UPPS memenuhi 4 unsur relevansi PkM dosen dan mahasiswa.</t>
  </si>
  <si>
    <t>UPPS memenuhi  unsur 1, 2, dan 3 relevansi PkM dosen dan mahasiswa.</t>
  </si>
  <si>
    <t>UPPS memenuhi  unsur 1, dan 2 relevansi PkM dosen dan mahasiswa.</t>
  </si>
  <si>
    <t>UPPS memenuhi  unsur pertama namun PkM dosen dan mahasiswa tidak sesuai dengan peta jalan.</t>
  </si>
  <si>
    <t>UPPS tidak mempunyai peta jalan PkM dosen dan mahasiswa.</t>
  </si>
  <si>
    <t>C.8.4.b) PkM Dosen dan Mahasiswa</t>
  </si>
  <si>
    <t>PkM DTPS yang dalam pelaksanaannya melibatkan mahasiswa program studi dalam 3 tahun terakhir.
Tabel 7 LKPS</t>
  </si>
  <si>
    <r>
      <t>N</t>
    </r>
    <r>
      <rPr>
        <vertAlign val="subscript"/>
        <sz val="11"/>
        <color rgb="FF000000"/>
        <rFont val="Calibri"/>
      </rPr>
      <t>PkMM</t>
    </r>
    <r>
      <rPr>
        <sz val="11"/>
        <color rgb="FF000000"/>
        <rFont val="Calibri"/>
      </rPr>
      <t xml:space="preserve"> = Jumlah judul PkM DTPS yang dalam pelaksanaannya melibatkan mahasiswa program studi dalam 3 tahun terakhir.</t>
    </r>
  </si>
  <si>
    <r>
      <t>N</t>
    </r>
    <r>
      <rPr>
        <vertAlign val="subscript"/>
        <sz val="11"/>
        <color rgb="FF000000"/>
        <rFont val="Calibri"/>
      </rPr>
      <t>PkMD</t>
    </r>
    <r>
      <rPr>
        <sz val="11"/>
        <color rgb="FF000000"/>
        <rFont val="Calibri"/>
      </rPr>
      <t xml:space="preserve"> = Jumlah judul PkM DTPS dalam 3 tahun terakhir. </t>
    </r>
  </si>
  <si>
    <r>
      <t>P</t>
    </r>
    <r>
      <rPr>
        <vertAlign val="subscript"/>
        <sz val="11"/>
        <color rgb="FF000000"/>
        <rFont val="Calibri"/>
      </rPr>
      <t>PkMDM</t>
    </r>
    <r>
      <rPr>
        <sz val="11"/>
        <color rgb="FF000000"/>
        <rFont val="Calibri"/>
      </rPr>
      <t xml:space="preserve"> = (N</t>
    </r>
    <r>
      <rPr>
        <vertAlign val="subscript"/>
        <sz val="11"/>
        <color rgb="FF000000"/>
        <rFont val="Calibri"/>
      </rPr>
      <t>PkMM</t>
    </r>
    <r>
      <rPr>
        <sz val="11"/>
        <color rgb="FF000000"/>
        <rFont val="Calibri"/>
      </rPr>
      <t xml:space="preserve"> / N</t>
    </r>
    <r>
      <rPr>
        <vertAlign val="subscript"/>
        <sz val="11"/>
        <color rgb="FF000000"/>
        <rFont val="Calibri"/>
      </rPr>
      <t>PkMD</t>
    </r>
    <r>
      <rPr>
        <sz val="11"/>
        <color rgb="FF000000"/>
        <rFont val="Calibri"/>
      </rPr>
      <t xml:space="preserve">) x 100% </t>
    </r>
  </si>
  <si>
    <r>
      <rPr>
        <b/>
        <sz val="11"/>
        <color rgb="FF000000"/>
        <rFont val="Calibri"/>
      </rPr>
      <t>C.9
Luaran dan Capaian Tridharma</t>
    </r>
    <r>
      <rPr>
        <sz val="11"/>
        <color rgb="FF000000"/>
        <rFont val="Calibri"/>
      </rPr>
      <t xml:space="preserve">
C.9.4 
Indikator Kinerja Utama
C.9.4.a)
Luaran Dharma Pendidikan</t>
    </r>
  </si>
  <si>
    <t>Analisis pemenuhan capaian pembelajaran lulusan (CPL) yang diukur dengan metoda yang sahih dan relevan, mencakup aspek:
1) keserbacakupan, 
2) kedalaman, dan 
3) kebermanfaatan analisis yang ditunjukkan dengan peningkatan CPL dari waktu ke waktu dalam 3 tahun terakhir.</t>
  </si>
  <si>
    <t xml:space="preserve">Analisis capaian pembelajaran lulusan memenuhi 3 aspek. </t>
  </si>
  <si>
    <t xml:space="preserve">Analisis capaian pembelajaran lulusan memenuhi 2 aspek. </t>
  </si>
  <si>
    <t xml:space="preserve">Analisis capaian pembelajaran lulusan memenuhi 1 aspek. </t>
  </si>
  <si>
    <t xml:space="preserve">Analisis capaian pembelajaran lulusan tidak memenuhi ketiga aspek. </t>
  </si>
  <si>
    <t>Tidak dilakukan analisis capaian pembelajaran lulusan.</t>
  </si>
  <si>
    <t>IPK lulusan.
Tabel 8.a LKPS</t>
  </si>
  <si>
    <t>Jumlah Lulusan pada TS-2</t>
  </si>
  <si>
    <t>Jumlah Lulusan pada TS-1</t>
  </si>
  <si>
    <t>Jumlah Lulusan pada TS</t>
  </si>
  <si>
    <t>IPK Rata-rata pada TS-2</t>
  </si>
  <si>
    <t>3,45</t>
  </si>
  <si>
    <t>IPK Rata-rata pada TS-1</t>
  </si>
  <si>
    <t>3,35</t>
  </si>
  <si>
    <t>IPK Rata-rata pada TS</t>
  </si>
  <si>
    <t>3,50</t>
  </si>
  <si>
    <t>RIPK = Rata-rata IPK lulusan dalam 3 tahun terakhir.</t>
  </si>
  <si>
    <t>Prestasi mahasiswa di bidang akademik dalam 3 tahun terakhir.
Tabel 8.b.1) LKPS</t>
  </si>
  <si>
    <r>
      <t>N</t>
    </r>
    <r>
      <rPr>
        <vertAlign val="subscript"/>
        <sz val="11"/>
        <color rgb="FF000000"/>
        <rFont val="Calibri"/>
      </rPr>
      <t>I</t>
    </r>
    <r>
      <rPr>
        <sz val="11"/>
        <color rgb="FF000000"/>
        <rFont val="Calibri"/>
      </rPr>
      <t xml:space="preserve"> = Jumlah prestasi akademik internasional.</t>
    </r>
  </si>
  <si>
    <r>
      <t>N</t>
    </r>
    <r>
      <rPr>
        <vertAlign val="subscript"/>
        <sz val="11"/>
        <color rgb="FF000000"/>
        <rFont val="Calibri"/>
      </rPr>
      <t>N</t>
    </r>
    <r>
      <rPr>
        <sz val="11"/>
        <color rgb="FF000000"/>
        <rFont val="Calibri"/>
      </rPr>
      <t xml:space="preserve"> = Jumlah prestasi akademik nasional.</t>
    </r>
  </si>
  <si>
    <r>
      <t>N</t>
    </r>
    <r>
      <rPr>
        <vertAlign val="subscript"/>
        <sz val="11"/>
        <color rgb="FF000000"/>
        <rFont val="Calibri"/>
      </rPr>
      <t>W</t>
    </r>
    <r>
      <rPr>
        <sz val="11"/>
        <color rgb="FF000000"/>
        <rFont val="Calibri"/>
      </rPr>
      <t xml:space="preserve"> = Jumlah prestasi akademik wilayah/lokal.</t>
    </r>
  </si>
  <si>
    <r>
      <t>R</t>
    </r>
    <r>
      <rPr>
        <vertAlign val="subscript"/>
        <sz val="11"/>
        <color rgb="FF000000"/>
        <rFont val="Calibri"/>
      </rPr>
      <t>I</t>
    </r>
    <r>
      <rPr>
        <sz val="11"/>
        <color rgb="FF000000"/>
        <rFont val="Calibri"/>
      </rPr>
      <t xml:space="preserve"> = N</t>
    </r>
    <r>
      <rPr>
        <vertAlign val="subscript"/>
        <sz val="11"/>
        <color rgb="FF000000"/>
        <rFont val="Calibri"/>
      </rPr>
      <t>I</t>
    </r>
    <r>
      <rPr>
        <sz val="11"/>
        <color rgb="FF000000"/>
        <rFont val="Calibri"/>
      </rPr>
      <t xml:space="preserve"> / N</t>
    </r>
    <r>
      <rPr>
        <vertAlign val="subscript"/>
        <sz val="11"/>
        <color rgb="FF000000"/>
        <rFont val="Calibri"/>
      </rPr>
      <t>M</t>
    </r>
  </si>
  <si>
    <r>
      <t>R</t>
    </r>
    <r>
      <rPr>
        <vertAlign val="subscript"/>
        <sz val="11"/>
        <color rgb="FF000000"/>
        <rFont val="Calibri"/>
      </rPr>
      <t>N</t>
    </r>
    <r>
      <rPr>
        <sz val="11"/>
        <color rgb="FF000000"/>
        <rFont val="Calibri"/>
      </rPr>
      <t xml:space="preserve"> = N</t>
    </r>
    <r>
      <rPr>
        <vertAlign val="subscript"/>
        <sz val="11"/>
        <color rgb="FF000000"/>
        <rFont val="Calibri"/>
      </rPr>
      <t>N</t>
    </r>
    <r>
      <rPr>
        <sz val="11"/>
        <color rgb="FF000000"/>
        <rFont val="Calibri"/>
      </rPr>
      <t xml:space="preserve"> / N</t>
    </r>
    <r>
      <rPr>
        <vertAlign val="subscript"/>
        <sz val="11"/>
        <color rgb="FF000000"/>
        <rFont val="Calibri"/>
      </rPr>
      <t>M</t>
    </r>
  </si>
  <si>
    <r>
      <t>R</t>
    </r>
    <r>
      <rPr>
        <vertAlign val="subscript"/>
        <sz val="11"/>
        <color rgb="FF000000"/>
        <rFont val="Calibri"/>
      </rPr>
      <t>W</t>
    </r>
    <r>
      <rPr>
        <sz val="11"/>
        <color rgb="FF000000"/>
        <rFont val="Calibri"/>
      </rPr>
      <t xml:space="preserve"> = N</t>
    </r>
    <r>
      <rPr>
        <vertAlign val="subscript"/>
        <sz val="11"/>
        <color rgb="FF000000"/>
        <rFont val="Calibri"/>
      </rPr>
      <t>W</t>
    </r>
    <r>
      <rPr>
        <sz val="11"/>
        <color rgb="FF000000"/>
        <rFont val="Calibri"/>
      </rPr>
      <t xml:space="preserve"> / N</t>
    </r>
    <r>
      <rPr>
        <vertAlign val="subscript"/>
        <sz val="11"/>
        <color rgb="FF000000"/>
        <rFont val="Calibri"/>
      </rPr>
      <t>M</t>
    </r>
  </si>
  <si>
    <t>2: RI = 0 DAN RN = 0 DAN RW ≥ c</t>
  </si>
  <si>
    <t>0-2: RI = 0 DAN RN = 0 DAN RW &lt; c</t>
  </si>
  <si>
    <t>Prestasi mahasiswa di bidang nonakademik dalam 3 tahun terakhir.
Tabel 8.b.2) LKPS</t>
  </si>
  <si>
    <r>
      <t>N</t>
    </r>
    <r>
      <rPr>
        <vertAlign val="subscript"/>
        <sz val="11"/>
        <color rgb="FF000000"/>
        <rFont val="Calibri"/>
      </rPr>
      <t>I</t>
    </r>
    <r>
      <rPr>
        <sz val="11"/>
        <color rgb="FF000000"/>
        <rFont val="Calibri"/>
      </rPr>
      <t xml:space="preserve"> = Jumlah prestasi nonakademik internasional.</t>
    </r>
  </si>
  <si>
    <r>
      <t>N</t>
    </r>
    <r>
      <rPr>
        <vertAlign val="subscript"/>
        <sz val="11"/>
        <color rgb="FF000000"/>
        <rFont val="Calibri"/>
      </rPr>
      <t>N</t>
    </r>
    <r>
      <rPr>
        <sz val="11"/>
        <color rgb="FF000000"/>
        <rFont val="Calibri"/>
      </rPr>
      <t xml:space="preserve"> = Jumlah prestasi nonakademik nasional.</t>
    </r>
  </si>
  <si>
    <r>
      <t>N</t>
    </r>
    <r>
      <rPr>
        <vertAlign val="subscript"/>
        <sz val="11"/>
        <color rgb="FF000000"/>
        <rFont val="Calibri"/>
      </rPr>
      <t>W</t>
    </r>
    <r>
      <rPr>
        <sz val="11"/>
        <color rgb="FF000000"/>
        <rFont val="Calibri"/>
      </rPr>
      <t xml:space="preserve"> = Jumlah prestasi nonakademik wilayah/lokal.</t>
    </r>
  </si>
  <si>
    <t>Masa studi.
Tabel 8.c LKPS</t>
  </si>
  <si>
    <t>Jumlah lulusan pada akhir TS dari mahasiswa tahun masuk TS-6</t>
  </si>
  <si>
    <t>Rata-rata masa studi lulusan dari mahasiswa tahun masuk TS-6 (Tahun)</t>
  </si>
  <si>
    <t>Jumlah lulusan pada akhir TS dari mahasiswa tahun masuk TS-5</t>
  </si>
  <si>
    <t>Rata-rata masa studi lulusan dari mahasiswa tahun masuk TS-5 (Tahun)</t>
  </si>
  <si>
    <t>Jumlah lulusan pada akhir TS dari mahasiswa tahun masuk TS-4</t>
  </si>
  <si>
    <t>Rata-rata masa studi lulusan dari mahasiswa tahun masuk TS-4 (Tahun)</t>
  </si>
  <si>
    <t>Jumlah lulusan pada akhir TS dari mahasiswa tahun masuk TS-3</t>
  </si>
  <si>
    <t>Rata-rata masa studi lulusan dari mahasiswa tahun masuk TS-3 (Tahun)</t>
  </si>
  <si>
    <t>MS = Rata-rata masa studi lulusan (Tahun)</t>
  </si>
  <si>
    <t>Kelulusan tepat waktu.
Tabel 8.c LKPS</t>
  </si>
  <si>
    <t>Jumlah Mahasiswa Diterima pada TS-6</t>
  </si>
  <si>
    <t>Jumlah Mahasiswa Diterima pada TS-5</t>
  </si>
  <si>
    <t>Jumlah Mahasiswa Diterima pada TS-4</t>
  </si>
  <si>
    <t>Jumlah Mahasiswa Diterima pada TS-3</t>
  </si>
  <si>
    <t>Jumlah Mahasiswa yang Lulus pada Akhir TS-3</t>
  </si>
  <si>
    <t>Jumlah Mahasiswa yang Lulus pada Akhir TS-2</t>
  </si>
  <si>
    <t>Jumlah Mahasiswa yang Lulus pada Akhir TS-1</t>
  </si>
  <si>
    <t>Jumlah Mahasiswa yang Lulus pada Akhir TS</t>
  </si>
  <si>
    <t>PTW = Persentase kelulusan tepat waktu.</t>
  </si>
  <si>
    <t>Keberhasilan studi.
Tabel 8.c LKPS</t>
  </si>
  <si>
    <t>Jumlah mahasiswa diterima pada TS-6</t>
  </si>
  <si>
    <t>Jumlah mahasiswa yang lulus pada akhir TS-3</t>
  </si>
  <si>
    <t>Jumlah mahasiswa yang lulus pada akhir TS-2</t>
  </si>
  <si>
    <t>Jumlah mahasiswa yang lulus pada akhir TS-1</t>
  </si>
  <si>
    <t>Jumlah mahasiswa yang lulus pada akhir TS</t>
  </si>
  <si>
    <t>PPS = Persentase keberhasilan studi.</t>
  </si>
  <si>
    <t xml:space="preserve">Pelaksanaan tracer study yang mencakup 5 aspek sebagai berikut: 
1) pelaksanaan tracer study terkoordinasi di tingkat PT,
2) kegiatan tracer study dilakukan secara reguler setiap tahun dan terdokumentasi,
3) isi kuesioner mencakup seluruh pertanyaan inti tracer study DIKTI.
4) ditargetkan pada seluruh populasi (lulusan TS-4 s.d. TS-2),
5) hasilnya disosialisasikan dan digunakan untuk pengembangan kurikulum dan pembelajaran. </t>
  </si>
  <si>
    <t>Tracer study yang dilakukan UPPS telah mencakup 5 aspek.</t>
  </si>
  <si>
    <t>Tracer study yang dilakukan UPPS telah mencakup 4 aspek.</t>
  </si>
  <si>
    <t>Tracer study yang dilakukan UPPS telah mencakup 3 aspek.</t>
  </si>
  <si>
    <t>Tracer study yang dilakukan UPPS telah mencakup 2 aspek.</t>
  </si>
  <si>
    <t>UPPS tidak melaksanakan tracer study.</t>
  </si>
  <si>
    <t>STUDI PENELUSURAN LULUSAN
TABEL REFERENSI 8.d.1)</t>
  </si>
  <si>
    <r>
      <t>N</t>
    </r>
    <r>
      <rPr>
        <vertAlign val="subscript"/>
        <sz val="11"/>
        <color rgb="FF000000"/>
        <rFont val="Calibri"/>
      </rPr>
      <t>L4</t>
    </r>
    <r>
      <rPr>
        <sz val="11"/>
        <color rgb="FF000000"/>
        <rFont val="Calibri"/>
      </rPr>
      <t xml:space="preserve"> = Jumlah lulusan pada TS-4</t>
    </r>
  </si>
  <si>
    <r>
      <t>N</t>
    </r>
    <r>
      <rPr>
        <vertAlign val="subscript"/>
        <sz val="11"/>
        <color rgb="FF000000"/>
        <rFont val="Calibri"/>
      </rPr>
      <t>L3</t>
    </r>
    <r>
      <rPr>
        <sz val="11"/>
        <color rgb="FF000000"/>
        <rFont val="Calibri"/>
      </rPr>
      <t xml:space="preserve"> = Jumlah lulusan pada TS-3</t>
    </r>
  </si>
  <si>
    <r>
      <t>N</t>
    </r>
    <r>
      <rPr>
        <vertAlign val="subscript"/>
        <sz val="11"/>
        <color rgb="FF000000"/>
        <rFont val="Calibri"/>
      </rPr>
      <t>L2</t>
    </r>
    <r>
      <rPr>
        <sz val="11"/>
        <color rgb="FF000000"/>
        <rFont val="Calibri"/>
      </rPr>
      <t xml:space="preserve"> = Jumlah lulusan pada TS-2</t>
    </r>
  </si>
  <si>
    <r>
      <t>N</t>
    </r>
    <r>
      <rPr>
        <vertAlign val="subscript"/>
        <sz val="11"/>
        <color rgb="FF000000"/>
        <rFont val="Calibri"/>
      </rPr>
      <t>J4</t>
    </r>
    <r>
      <rPr>
        <sz val="11"/>
        <color rgb="FF000000"/>
        <rFont val="Calibri"/>
      </rPr>
      <t xml:space="preserve"> = Jumlah lulusan pada TS-4 yang terlacak</t>
    </r>
  </si>
  <si>
    <r>
      <t>N</t>
    </r>
    <r>
      <rPr>
        <vertAlign val="subscript"/>
        <sz val="11"/>
        <color rgb="FF000000"/>
        <rFont val="Calibri"/>
      </rPr>
      <t>J3</t>
    </r>
    <r>
      <rPr>
        <sz val="11"/>
        <color rgb="FF000000"/>
        <rFont val="Calibri"/>
      </rPr>
      <t xml:space="preserve"> = Jumlah lulusan pada TS-3 yang terlacak</t>
    </r>
  </si>
  <si>
    <r>
      <t>N</t>
    </r>
    <r>
      <rPr>
        <vertAlign val="subscript"/>
        <sz val="11"/>
        <color rgb="FF000000"/>
        <rFont val="Calibri"/>
      </rPr>
      <t>J3</t>
    </r>
    <r>
      <rPr>
        <sz val="11"/>
        <color rgb="FF000000"/>
        <rFont val="Calibri"/>
      </rPr>
      <t xml:space="preserve"> = Jumlah lulusan pada TS-2 yang terlacak</t>
    </r>
  </si>
  <si>
    <r>
      <t>Kategori jumlah lulusan dalam 3 tahun (1: N</t>
    </r>
    <r>
      <rPr>
        <vertAlign val="subscript"/>
        <sz val="11"/>
        <color rgb="FF000000"/>
        <rFont val="Calibri"/>
      </rPr>
      <t>L</t>
    </r>
    <r>
      <rPr>
        <sz val="11"/>
        <color rgb="FF000000"/>
        <rFont val="Calibri"/>
      </rPr>
      <t xml:space="preserve"> </t>
    </r>
    <r>
      <rPr>
        <sz val="11"/>
        <color rgb="FF000000"/>
        <rFont val="Symbol"/>
      </rPr>
      <t>³</t>
    </r>
    <r>
      <rPr>
        <sz val="11"/>
        <color rgb="FF000000"/>
        <rFont val="Calibri"/>
      </rPr>
      <t xml:space="preserve"> 300; 2: N</t>
    </r>
    <r>
      <rPr>
        <vertAlign val="subscript"/>
        <sz val="11"/>
        <color rgb="FF000000"/>
        <rFont val="Calibri"/>
      </rPr>
      <t>L</t>
    </r>
    <r>
      <rPr>
        <sz val="11"/>
        <color rgb="FF000000"/>
        <rFont val="Calibri"/>
      </rPr>
      <t xml:space="preserve"> &lt; 300)</t>
    </r>
  </si>
  <si>
    <t>Persentase responden lulusan</t>
  </si>
  <si>
    <r>
      <t>P</t>
    </r>
    <r>
      <rPr>
        <vertAlign val="subscript"/>
        <sz val="11"/>
        <color rgb="FF000000"/>
        <rFont val="Calibri"/>
      </rPr>
      <t>rmin</t>
    </r>
    <r>
      <rPr>
        <sz val="11"/>
        <color rgb="FF000000"/>
        <rFont val="Calibri"/>
      </rPr>
      <t xml:space="preserve"> = Persentase responden minimum</t>
    </r>
  </si>
  <si>
    <t>Waktu tunggu lulusan untuk mendapatkan pekerjaan pertama dalam 3 tahun, mulai TS-4 s.d. TS-2.
Tabel 8.d.1) LKPS</t>
  </si>
  <si>
    <t>Thn Lulus TS-4</t>
  </si>
  <si>
    <r>
      <t>Jumlah lulusan dengan W</t>
    </r>
    <r>
      <rPr>
        <sz val="11"/>
        <color rgb="FF000000"/>
        <rFont val="Calibri"/>
      </rPr>
      <t>T &lt; 3 bulan</t>
    </r>
  </si>
  <si>
    <r>
      <t>Jumlah lulusan dengan 3 bulan ≤ W</t>
    </r>
    <r>
      <rPr>
        <sz val="11"/>
        <color rgb="FF000000"/>
        <rFont val="Calibri"/>
      </rPr>
      <t>T ≤ 6 bulan</t>
    </r>
  </si>
  <si>
    <r>
      <t>Jumlah lulusan dengan W</t>
    </r>
    <r>
      <rPr>
        <sz val="11"/>
        <color rgb="FF000000"/>
        <rFont val="Calibri"/>
      </rPr>
      <t>T &gt; 6 bulan</t>
    </r>
  </si>
  <si>
    <t>Thn Lulus TS-3</t>
  </si>
  <si>
    <t>Thn Lulus TS-2</t>
  </si>
  <si>
    <t>mid1 =</t>
  </si>
  <si>
    <t>mid2 =</t>
  </si>
  <si>
    <t>mid3 =</t>
  </si>
  <si>
    <t>WT = Rata-rata masa tunggu lulusan (bulan)</t>
  </si>
  <si>
    <t>Skor Awal</t>
  </si>
  <si>
    <t>STUDI PENELUSURAN LULUSAN
TABEL REFERENSI 8.d.2)</t>
  </si>
  <si>
    <r>
      <t>N</t>
    </r>
    <r>
      <rPr>
        <vertAlign val="subscript"/>
        <sz val="11"/>
        <color rgb="FF000000"/>
        <rFont val="Calibri"/>
      </rPr>
      <t>J2</t>
    </r>
    <r>
      <rPr>
        <sz val="11"/>
        <color rgb="FF000000"/>
        <rFont val="Calibri"/>
      </rPr>
      <t xml:space="preserve"> = Jumlah lulusan pada TS-2 yang terlacak</t>
    </r>
  </si>
  <si>
    <t>Kesesuaian bidang kerja. 
Tabel 8.d.2) LKPS</t>
  </si>
  <si>
    <t>Jumlah lulusan dengan kesesuaian bidang kerja rendah</t>
  </si>
  <si>
    <t>Jumlah lulusan dengan kesesuaian bidang kerja sedang</t>
  </si>
  <si>
    <t>Jumlah lulusan dengan kesesuaian bidang kerja tinggi</t>
  </si>
  <si>
    <t>rendah</t>
  </si>
  <si>
    <t>sedang</t>
  </si>
  <si>
    <t>tinggi</t>
  </si>
  <si>
    <t>PBS = Kesesuaian bidang kerja lulusan saat mendapatkan pekerjaan pertama.</t>
  </si>
  <si>
    <t>STUDI PENELUSURAN LULUSAN
TABEL REFERENSI 8.e.1)</t>
  </si>
  <si>
    <r>
      <t>N</t>
    </r>
    <r>
      <rPr>
        <vertAlign val="subscript"/>
        <sz val="11"/>
        <color rgb="FF000000"/>
        <rFont val="Calibri"/>
      </rPr>
      <t>J4</t>
    </r>
    <r>
      <rPr>
        <sz val="11"/>
        <color rgb="FF000000"/>
        <rFont val="Calibri"/>
      </rPr>
      <t xml:space="preserve"> = Jumlah lulusan pada TS-4 yang terlacak (bekerja/berwirausaha)</t>
    </r>
  </si>
  <si>
    <r>
      <t>N</t>
    </r>
    <r>
      <rPr>
        <vertAlign val="subscript"/>
        <sz val="11"/>
        <color rgb="FF000000"/>
        <rFont val="Calibri"/>
      </rPr>
      <t>J3</t>
    </r>
    <r>
      <rPr>
        <sz val="11"/>
        <color rgb="FF000000"/>
        <rFont val="Calibri"/>
      </rPr>
      <t xml:space="preserve"> = Jumlah lulusan pada TS-3 yang terlacak (bekerja/berwirausaha)</t>
    </r>
  </si>
  <si>
    <r>
      <t>N</t>
    </r>
    <r>
      <rPr>
        <vertAlign val="subscript"/>
        <sz val="11"/>
        <color rgb="FF000000"/>
        <rFont val="Calibri"/>
      </rPr>
      <t>J2</t>
    </r>
    <r>
      <rPr>
        <sz val="11"/>
        <color rgb="FF000000"/>
        <rFont val="Calibri"/>
      </rPr>
      <t xml:space="preserve"> = Jumlah lulusan pada TS-2 yang terlacak (bekerja/berwirausaha)</t>
    </r>
  </si>
  <si>
    <t>Tingkat dan ukuran tempat kerja lulusan.
Tabel 8.e.1) LKPS</t>
  </si>
  <si>
    <t>Tahun Lulus TS-4</t>
  </si>
  <si>
    <t>NI = Jumlah lulusan yang bekerja di badan usaha tingkat multi nasional/internasional.</t>
  </si>
  <si>
    <t>NN = Jumlah lulusan yang bekerja di badan usaha tingkat nasional atau berwirausaha yang berizin.</t>
  </si>
  <si>
    <t>NW = Jumlah lulusan yang bekerja di badan usaha tingkat wilayah/lokal atau berwirausaha tidak berizin.</t>
  </si>
  <si>
    <t>Tahun Lulus TS-3</t>
  </si>
  <si>
    <t>Tahun Lulus TS-2</t>
  </si>
  <si>
    <r>
      <t>R</t>
    </r>
    <r>
      <rPr>
        <vertAlign val="subscript"/>
        <sz val="11"/>
        <color rgb="FF000000"/>
        <rFont val="Calibri"/>
      </rPr>
      <t>I</t>
    </r>
    <r>
      <rPr>
        <sz val="11"/>
        <color rgb="FF000000"/>
        <rFont val="Calibri"/>
      </rPr>
      <t xml:space="preserve"> = N</t>
    </r>
    <r>
      <rPr>
        <vertAlign val="subscript"/>
        <sz val="11"/>
        <color rgb="FF000000"/>
        <rFont val="Calibri"/>
      </rPr>
      <t>I</t>
    </r>
    <r>
      <rPr>
        <sz val="11"/>
        <color rgb="FF000000"/>
        <rFont val="Calibri"/>
      </rPr>
      <t xml:space="preserve"> / N</t>
    </r>
    <r>
      <rPr>
        <vertAlign val="subscript"/>
        <sz val="11"/>
        <color rgb="FF000000"/>
        <rFont val="Calibri"/>
      </rPr>
      <t>L</t>
    </r>
  </si>
  <si>
    <r>
      <t>R</t>
    </r>
    <r>
      <rPr>
        <vertAlign val="subscript"/>
        <sz val="11"/>
        <color rgb="FF000000"/>
        <rFont val="Calibri"/>
      </rPr>
      <t>N</t>
    </r>
    <r>
      <rPr>
        <sz val="11"/>
        <color rgb="FF000000"/>
        <rFont val="Calibri"/>
      </rPr>
      <t xml:space="preserve"> = N</t>
    </r>
    <r>
      <rPr>
        <vertAlign val="subscript"/>
        <sz val="11"/>
        <color rgb="FF000000"/>
        <rFont val="Calibri"/>
      </rPr>
      <t>N</t>
    </r>
    <r>
      <rPr>
        <sz val="11"/>
        <color rgb="FF000000"/>
        <rFont val="Calibri"/>
      </rPr>
      <t xml:space="preserve"> / N</t>
    </r>
    <r>
      <rPr>
        <vertAlign val="subscript"/>
        <sz val="11"/>
        <color rgb="FF000000"/>
        <rFont val="Calibri"/>
      </rPr>
      <t>L</t>
    </r>
  </si>
  <si>
    <r>
      <t>R</t>
    </r>
    <r>
      <rPr>
        <vertAlign val="subscript"/>
        <sz val="11"/>
        <color rgb="FF000000"/>
        <rFont val="Calibri"/>
      </rPr>
      <t>W</t>
    </r>
    <r>
      <rPr>
        <sz val="11"/>
        <color rgb="FF000000"/>
        <rFont val="Calibri"/>
      </rPr>
      <t xml:space="preserve"> = N</t>
    </r>
    <r>
      <rPr>
        <vertAlign val="subscript"/>
        <sz val="11"/>
        <color rgb="FF000000"/>
        <rFont val="Calibri"/>
      </rPr>
      <t>W</t>
    </r>
    <r>
      <rPr>
        <sz val="11"/>
        <color rgb="FF000000"/>
        <rFont val="Calibri"/>
      </rPr>
      <t xml:space="preserve"> / N</t>
    </r>
    <r>
      <rPr>
        <vertAlign val="subscript"/>
        <sz val="11"/>
        <color rgb="FF000000"/>
        <rFont val="Calibri"/>
      </rPr>
      <t>L</t>
    </r>
  </si>
  <si>
    <t>STUDI PENELUSURAN LULUSAN
TABEL REFERENSI 8.e.2)</t>
  </si>
  <si>
    <r>
      <t>N</t>
    </r>
    <r>
      <rPr>
        <vertAlign val="subscript"/>
        <sz val="11"/>
        <color rgb="FF000000"/>
        <rFont val="Calibri"/>
      </rPr>
      <t>J4</t>
    </r>
    <r>
      <rPr>
        <sz val="11"/>
        <color rgb="FF000000"/>
        <rFont val="Calibri"/>
      </rPr>
      <t xml:space="preserve"> = Jumlah lulusan pada TS-4 yang dinilai oleh pengguna</t>
    </r>
  </si>
  <si>
    <r>
      <t>N</t>
    </r>
    <r>
      <rPr>
        <vertAlign val="subscript"/>
        <sz val="11"/>
        <color rgb="FF000000"/>
        <rFont val="Calibri"/>
      </rPr>
      <t>J3</t>
    </r>
    <r>
      <rPr>
        <sz val="11"/>
        <color rgb="FF000000"/>
        <rFont val="Calibri"/>
      </rPr>
      <t xml:space="preserve"> = Jumlah lulusan pada TS-3 yang dinilai oleh pengguna</t>
    </r>
  </si>
  <si>
    <r>
      <t>N</t>
    </r>
    <r>
      <rPr>
        <vertAlign val="subscript"/>
        <sz val="11"/>
        <color rgb="FF000000"/>
        <rFont val="Calibri"/>
      </rPr>
      <t>J2</t>
    </r>
    <r>
      <rPr>
        <sz val="11"/>
        <color rgb="FF000000"/>
        <rFont val="Calibri"/>
      </rPr>
      <t xml:space="preserve"> = Jumlah lulusan pada TS-2 yang dinilai oleh pengguna</t>
    </r>
  </si>
  <si>
    <t>Persentase responden pengguna lulusan</t>
  </si>
  <si>
    <t>Tingkat kepuasan pengguna lulusan.
Tabel 8.e.2) LKPS</t>
  </si>
  <si>
    <t>Etika</t>
  </si>
  <si>
    <t>TK1</t>
  </si>
  <si>
    <t>Keahlian</t>
  </si>
  <si>
    <t>TK2</t>
  </si>
  <si>
    <t>Bahasa</t>
  </si>
  <si>
    <t>TK3</t>
  </si>
  <si>
    <t>Teknologi Informasi</t>
  </si>
  <si>
    <t>TK4</t>
  </si>
  <si>
    <t>Komunikasi</t>
  </si>
  <si>
    <t>TK5</t>
  </si>
  <si>
    <t>Kerjasama</t>
  </si>
  <si>
    <t>TK6</t>
  </si>
  <si>
    <t>Pengembangan Diri</t>
  </si>
  <si>
    <t>TK7</t>
  </si>
  <si>
    <t xml:space="preserve">C.9.4.b) Luaran Dharma Penelitian dan PkM </t>
  </si>
  <si>
    <t>Publikasi ilmiah mahasiswa, yang dihasilkan secara mandiri atau bersama DTPS, dengan judul yang relevan dengan bidang program studi dalam 3 tahun terakhir.
Tabel 8.f.1) LKPS</t>
  </si>
  <si>
    <r>
      <t>N</t>
    </r>
    <r>
      <rPr>
        <vertAlign val="subscript"/>
        <sz val="11"/>
        <color rgb="FF000000"/>
        <rFont val="Calibri"/>
      </rPr>
      <t>M</t>
    </r>
    <r>
      <rPr>
        <sz val="11"/>
        <color rgb="FF000000"/>
        <rFont val="Calibri"/>
      </rPr>
      <t xml:space="preserve"> = Jumlah mahasiswa pada saat TS. </t>
    </r>
  </si>
  <si>
    <t>Luaran penelitian dan PkM yang dihasilkan mahasiswa, baik secara mandiri atau bersama DTPS dalam 3 tahun terakhir.
Tabel 8.f.4) LKPS</t>
  </si>
  <si>
    <r>
      <t>N</t>
    </r>
    <r>
      <rPr>
        <vertAlign val="subscript"/>
        <sz val="11"/>
        <color rgb="FF000000"/>
        <rFont val="Calibri"/>
      </rPr>
      <t>LP</t>
    </r>
    <r>
      <rPr>
        <sz val="11"/>
        <color rgb="FF000000"/>
        <rFont val="Calibri"/>
      </rPr>
      <t xml:space="preserve"> = (2 x (N</t>
    </r>
    <r>
      <rPr>
        <vertAlign val="subscript"/>
        <sz val="11"/>
        <color rgb="FF000000"/>
        <rFont val="Calibri"/>
      </rPr>
      <t>A</t>
    </r>
    <r>
      <rPr>
        <sz val="11"/>
        <color rgb="FF000000"/>
        <rFont val="Calibri"/>
      </rPr>
      <t xml:space="preserve"> + N</t>
    </r>
    <r>
      <rPr>
        <vertAlign val="subscript"/>
        <sz val="11"/>
        <color rgb="FF000000"/>
        <rFont val="Calibri"/>
      </rPr>
      <t>B</t>
    </r>
    <r>
      <rPr>
        <sz val="11"/>
        <color rgb="FF000000"/>
        <rFont val="Calibri"/>
      </rPr>
      <t xml:space="preserve"> + N</t>
    </r>
    <r>
      <rPr>
        <vertAlign val="subscript"/>
        <sz val="11"/>
        <color rgb="FF000000"/>
        <rFont val="Calibri"/>
      </rPr>
      <t>C</t>
    </r>
    <r>
      <rPr>
        <sz val="11"/>
        <color rgb="FF000000"/>
        <rFont val="Calibri"/>
      </rPr>
      <t>) + N</t>
    </r>
    <r>
      <rPr>
        <vertAlign val="subscript"/>
        <sz val="11"/>
        <color rgb="FF000000"/>
        <rFont val="Calibri"/>
      </rPr>
      <t>D</t>
    </r>
    <r>
      <rPr>
        <sz val="11"/>
        <color rgb="FF000000"/>
        <rFont val="Calibri"/>
      </rPr>
      <t>)</t>
    </r>
  </si>
  <si>
    <t>D  Analisis dan Penetapan Program Pengembangan
D.1 
Analisis dan Capaian Kinerja</t>
  </si>
  <si>
    <t>Keserbacakupan (kelengkapan, keluasan, dan kedalaman), ketepatan, ketajaman, dan kesesuaian analisis capaian kinerja serta konsistensi dengan setiap kriteria.</t>
  </si>
  <si>
    <t>UPPS telah melakukan analisis capaian kinerja yang: 
1) analisisnya didukung oleh data/informasi yang relevan (merujuk pada pencapaian standar mutu perguruan tinggi) dan berkualitas (andal dan memadai) yang didukung oleh keberadaan pangkalan data institusi yang terintegrasi.
2) konsisten dengan seluruh kriteria yang diuraikan sebelumnya, 
3) analisisnya dilakukan secara komprehensif, tepat, dan tajam untuk mengidentifikasi akar masalah di  UPPS.
4) hasilnya dipublikasikan kepada para pemangku kepentingan internal dan eksternal serta mudah diakses.</t>
  </si>
  <si>
    <t>UPPS telah melakukan analisis capaian kinerja yang: 
1) analisisnya didukung oleh data/informasi yang relevan (merujuk pada pencapaian standar mutu perguruan tinggi) dan berkualitas (andal dan memadai) yang didukung oleh keberadaan pangkalan data institusi yang belum terintegrasi.
2) konsisten dengan sebagian besar (7 s.d. 8) kriteria yang diuraikan sebelumnya, 
3) analisisnya dilakukan secara komprehensif dan tepat untuk mengidentifikasi akar masalah di UPPS.
4) hasilnya dipublikasikan kepada para pemangku kepentingan internal serta mudah diakses.</t>
  </si>
  <si>
    <t>UPPS telah melakukan analisis capaian kinerja yang: 
1) analisisnya didukung oleh data/informasi yang relevan (merujuk pada pencapaian standar mutu perguruan tinggi) dan berkualitas (andal dan memadai).
2) konsisten dengan sebagian (5 s.d. 6) kriteria yang diuraikan sebelumnya, 
3) analisisnya dilakukan secara komprehensif untuk mengidentifikasi akar masalah di UPPS.
4) hasilnya dipublikasikan kepada para pemangku kepentingan internal.</t>
  </si>
  <si>
    <t>UPPS telah melakukan analisis capaian kinerja yang: 
1) analisisnya tidak sepenuhnya didukung oleh data/informasi yang relevan (merujuk pada pencapaian standar mutu perguruan tinggi) dan berkualitas (andal dan memadai).
2) konsisten dengan sebagian kecil (kurang dari 5) kriteria yang diuraikan sebelumnya, 
3) analisisnya dilakukan tidak secara komprehensif untuk mengidentifikasi akar masalah di UPPS.
4) hasilnya tidak dipublikasikan.</t>
  </si>
  <si>
    <t>UPPS tidak melakukan analisis capaian kinerja.</t>
  </si>
  <si>
    <t>D.2 
Analisis SWOT atau Analisis Lain yang Relevan</t>
  </si>
  <si>
    <t>Ketepatan analisis SWOT atau analisis yang relevan di dalam mengembangkan strategi.</t>
  </si>
  <si>
    <t>UPPS melakukan analisis SWOT atau analisis lain yang relevan, serta memenuhi aspek-aspek sebagai berikut:
1) melakukan identifikasi kekuatan atau faktor pendorong, kelemahan atau faktor penghambat, peluang dan ancaman yang dihadapi UPPS dilakukan secara tepat,
2) memiliki keterkaitan dengan hasil analisis capaian kinerja,
3) merumuskan strategi pengembangan UPPS yang berkesesuaian, dan
4) menghasilkan program-program pengembangan alternatif yang tepat.</t>
  </si>
  <si>
    <t>UPPS melakukan analisis SWOT atau analisis lain yang relevan, serta memenuhi aspek-aspek sebagai berikut:
1) melakukan identifikasi kekuatan atau faktor pendorong, kelemahan atau faktor penghambat, peluang dan ancaman yang dihadapi UPPS dilakukan secara tepat,
2) memiliki keterkaitan dengan hasil analisis capaian kinerja, dan
3) merumuskan strategi pengembangan UPPS yang berkesesuaian.</t>
  </si>
  <si>
    <t>UPPS melakukan analisis SWOT atau analisis lain yang relevan, serta memenuhi aspek-aspek sebagai berikut:
1) melakukan identifikasi kekuatan atau faktor pendorong, kelemahan atau faktor penghambat, peluang dan ancaman yang dihadapi UPPS dilakukan secara tepat, dan 
2) memiliki keterkaitan dengan hasil analisis capaian kinerja.</t>
  </si>
  <si>
    <t>UPPS melakukan analisis SWOT atau analisis lain yang memenuhi aspek-aspek sebagai berikut:
1) melakukan identifikasi kekuatan atau faktor pendorong, kelemahan atau faktor penghambat, peluang dan ancaman yang dihadapi UPPS, dan
2) memiliki keterkaitan dengan hasil analisis capaian kinerja, namun tidak terstruktur dan tidak sistematis.</t>
  </si>
  <si>
    <t>UPPS tidak melakukan analisis untuk mengembangkan strategi.</t>
  </si>
  <si>
    <t>D.3
Program Pengembangan</t>
  </si>
  <si>
    <t>Ketepatan di dalam menetapkan prioritas program pengembangan.</t>
  </si>
  <si>
    <t>UPPS menetapkan prioritas program pengembangan berdasarkan hasil analisis SWOT atau analisis lainnya yang mempertimbangkan secara komprehensif:
1) kapasitas UPPS,
2) kebutuhan UPPS dan PS di masa depan,
3) rencana strategis UPPS yang berlaku,
4) aspirasi dari pemangku kepentingan internal dan eksternal, dan
5) program yang menjamin keberlanjutan.</t>
  </si>
  <si>
    <t>UPPS menetapkan prioritas program pengembangan berdasarkan hasil analisis SWOT atau analisis lainnya yang mempertimbangkan secara komprehensif:
1) kapasitas UPPS,
2) kebutuhan UPPS dan PS di masa depan,
3) rencana strategis UPPS yang berlaku, dan
4) aspirasi dari pemangku kepentingan internal.</t>
  </si>
  <si>
    <t>UPPS menetapkan prioritas program pengembangan berdasarkan hasil analisis SWOT atau analisis lainnya yang mempertimbangkan secara komprehensif:
1) kapasitas UPPS,
2) kebutuhan UPPS dan PS di masa depan, dan
3) rencana strategis UPPS yang berlaku.</t>
  </si>
  <si>
    <t>UPPS menetapkan prioritas program pengembangan namun belum mempertimbangan secara komprehensif:
1) kapasitas UPPS,
2) kebutuhan UPPS dan PS, dan
3) rencana strategis UPPS yang berlaku.</t>
  </si>
  <si>
    <t>UPPS tidak menetapkan prioritas program pengembangan.</t>
  </si>
  <si>
    <t xml:space="preserve">D.4 
Program Keberlanjutan </t>
  </si>
  <si>
    <t>UPPS memiliki kebijakan, ketersediaan sumberdaya, kemampuan melaksanakan, dan kerealistikan program.</t>
  </si>
  <si>
    <t>UPPS memiliki kebijakan dan upaya yang diturunkan ke dalam berbagai peraturan untuk menjamin keberlanjutan program yang mencakup:
1) alokasi sumber daya, 
2) kemampuan melaksanakan,
3) rencana penjaminan mutu yang berkelanjutan, dan 
4) keberadaan dukungan stakeholders eksternal.</t>
  </si>
  <si>
    <t>UPPS memiliki kebijakan dan upaya yang diturunkan ke dalam berbagai peraturan untuk menjamin keberlanjutan program yang mencakup:
1) alokasi sumber daya, 
2) kemampuan melaksanakan, dan
3) rencana penjaminan mutu yang berkelanjutan.</t>
  </si>
  <si>
    <t>UPPS memiliki kebijakan dan upaya untuk menjamin keberlanjutan program yang mencakup:
1) alokasi sumber daya, 
2) kemampuan melaksanakan, dan
3) rencana penjaminan mutu yang berkelanjutan.</t>
  </si>
  <si>
    <t>UPPS memiliki kebijakan dan upaya namun belum cukup untuk menjamin keberlanjutan program.</t>
  </si>
  <si>
    <t>UPPS tidak memiliki kebijakan dan upaya untuk menjamin keberlanjutan program.</t>
  </si>
  <si>
    <t>BERITA ACARA ASESMEN LAPANGAN</t>
  </si>
  <si>
    <t>AKREDITASI PROGRAM STUDI - PROGRAM SARJANA</t>
  </si>
  <si>
    <t>Nama Perguruan Tinggi:</t>
  </si>
  <si>
    <t>Nama Unit Pengelola:</t>
  </si>
  <si>
    <t>Nama Program Studi:</t>
  </si>
  <si>
    <t>Kode Panel:</t>
  </si>
  <si>
    <t>Tanggal Penilaian:</t>
  </si>
  <si>
    <t>NO.</t>
  </si>
  <si>
    <t>DESKRIPSI PENILAIAN TIM ASESOR BERDASARKAN DATA DAN INFORMASI DARI LED DAN LKPS</t>
  </si>
  <si>
    <t>DESKRIPSI PENILAIAN TIM ASESOR BERDASARKAN HASIL VERIFIKASI ASESMEN LAPANGAN</t>
  </si>
  <si>
    <t>REKOMENDASI PEMBINAAN</t>
  </si>
  <si>
    <t>SKOR AKHIR</t>
  </si>
  <si>
    <t>DESKRIPSI PENILAIAN ASESOR 1</t>
  </si>
  <si>
    <t>SKOR ASESOR 1</t>
  </si>
  <si>
    <t>DESKRIPSI PENILAIAN ASESOR 2</t>
  </si>
  <si>
    <t>SKOR ASESOR 2</t>
  </si>
  <si>
    <r>
      <t xml:space="preserve">A. Kondisi Eksternal
</t>
    </r>
    <r>
      <rPr>
        <sz val="10"/>
        <color rgb="FF000000"/>
        <rFont val="Calibri"/>
      </rPr>
      <t>Konsistensi dengan hasil analisis SWOT dan/atau analisis lain serta rencana pengembangan ke depan.</t>
    </r>
  </si>
  <si>
    <t>Dalam rangka untuk melakukan identifikasi kondisi eksternal, UPPS telah mempertimbangkan kebijakan pemerintah dalam regulasi pendidikan tinggi, aspek ekonomi, aspek social dan budaya khususnya di daerah Sulawesi selatan dan sekitarnya, perkembangan ilmu pengetahuan dan teknologi serta kebutuhan pasar kerja. Kondisi eksternal yang dijelaskan sifatnya masih teori dan normative. UPPS belum  mengidentifikasi  secara spesifik dan komprehensif aspek-aspek  kondisi eksternal apa saja yang relevan dan strategis yang akan memberikan dampak signifikan terhadap keberadaan dan keberlangsungan upps dan prodi yang diakreditasi (baik yang berupa peluang atau ancaman), yang juga dapat menggambarkan posisi UPPS dan atau prodi relative terhadap lingkungan eksternalnya, serta dapat digunakan dalam melakukan analisis SWOT pada keseluruhan kriteria evaluasi diri.</t>
  </si>
  <si>
    <t xml:space="preserve">UPPS mengidentifikasi kondisi eksternal dengan menguraikan kebijakan pemerintah dalam regulasi pendidikan tinggi, aspek ekonomi, aspek sosial dan budaya khususnya di daerah Sulawesi selatan dan sekitarnya, perkembangan ilmu pengetahuan dan teknologi serta kebutuhan pasar kerja. Namun uraian tersebut masih normatif,  belum menguraikan secara komprehensif kondisi lingkungan dan industri yang relevan.  Disamping itu UPPS juga belum menentapkan posisi relatif program studi dalam lingkungannya. Tidak ada uraian tentang dampak signifikan terhadap keberadaan dan keberlangsungan UPPS dan Prodi yang diakreditasi. Ada analisis SWOT, tetapi tdk didasari atas hasil identifikasi kondisi nyata, masih sangat umum dengan uraian desktritif tanpa didukung dengan data yang sahih (konkrit). </t>
  </si>
  <si>
    <r>
      <t xml:space="preserve">B. Profil Unit Pengelola Program Studi
</t>
    </r>
    <r>
      <rPr>
        <sz val="10"/>
        <color rgb="FF000000"/>
        <rFont val="Calibri"/>
      </rPr>
      <t>Keserbacakupan informasi dalam profil dan konsistensi antara profil dengan data dan informasi yang disampaikan pada masing-masing kriteria, serta menunjukkan iklim yang kondusif untuk pengembangan dan reputasi sebagai rujukan di bidang keilmuannya.</t>
    </r>
  </si>
  <si>
    <t xml:space="preserve">UPPS menjelaskan tentang profilnya mencakup: 1). Sejarah, dimana Fakultas Teknik Universitas Pejuang Republik Indonesia yang didirikan pada  Tahun 1976, dengan nama Fakultas Tambang UVRI Ujung Pandang. Pada tahun 2019, ada 3 prodi yang dikelolan oleh Fakultas Teknik , yaitu prodi Teknik Pertambangan Umum sesuai SK Mendikbud nomor : 045/0/1985 tanggal 28 Januari 1985, prodi  Teknik Mesin melalui  Surat Keputusan Mendikbud Nomor : 0320/0/1988 tanggal 4 Juli 1988 dan prodi  Teknik Informatika dengan SK Dirjen Pendidikan Tinggi Depdiknas Nomor : 98/DIKTI/KEP./2000 Tanggal 17 April 2000. Ketiga program studi terakreditasi C oleh BAN-PT. 2). Visi misi Tujuan dan strategi pencapaian sasaran dari masing-masing tujuannya. 3). Sarana dan prasarana, namun tidak ada penjelasan terkait dengan keuangan. 4). SDM, dengan jumlah dosen 29 dan tendik 20 orang. Tidak ada penjelasan tentang kualifikasi pendidikan maupun jabatan fungsional dosen, termasuk prestasi yang diperoleh SDM. UPPS tidak menjelaskan tentang mahasiswa/lulusan; sistem penjaminan mutu, maupun kinerja UPPS dan prodi yang menggambarkan keselarasan dengan substansi keilmuan prodi dan menunjukkan reputasi sebagai rujukan di bidang keilmuan prodi. 
</t>
  </si>
  <si>
    <t>Profil Fakultas Teknik sebagai UPPS berisi sejarah, informasi ttg visi, misi, sasaran, tyujuan dan strategi pencapaiannya. Tetapi tidak ada informasi ttg data-data masing-masing kriteria, yang dpt menggambarkan iklim yang kondusif untuk pengembangan dan reputasi sebagai rujukan di bidang keilmuannya. Terdapat informasi ttg sarana dan prasarana yang menggambarkan ketersedian fasilitas di prodi, berupa ruang kuliah luas 1500 m2, laboratorium mesin luas 400 m2, Lab Prodi Tek Informatika luas 120 m2, Lab Prodi Tek Mesin luas 1020 m2, ruang perkantoran luas 1000 m2, dan sarana olah raga, berupa lapangan sepak bola, basket dan voli</t>
  </si>
  <si>
    <r>
      <rPr>
        <b/>
        <sz val="10"/>
        <color rgb="FF000000"/>
        <rFont val="Calibri"/>
      </rPr>
      <t>C. Kriteria
C.1. Visi, Misi, Tujuan dan Strategi</t>
    </r>
    <r>
      <rPr>
        <sz val="10"/>
        <color rgb="FF000000"/>
        <rFont val="Calibri"/>
      </rPr>
      <t xml:space="preserve">
C.1.4. Indikator Kinerja Utama
Kesesuaian Visi, Misi, Tujuan dan Strategi (VMTS) Unit Pengelola Program Studi (UPPS) terhadap VMTS Perguruan Tinggi (PT) dan visi keilmuan Program Studi (PS) yang dikelolanya.</t>
    </r>
  </si>
  <si>
    <t xml:space="preserve">Dalam Lapopran Evaluasi Diri, yang dijelaskan adalah Visi Misi Tujuan program studi  Teklnik Mesin, bukan Visi Misi dan Tjuan Fakultas sebagai unit pengelola program studi Teknik Mesin. Dijelaskan  Visi PS Teknik Mesin  yaitu:  “Menjadi Program Studi Teknik Mesin yang berdaya saing secara global dan inovatif dalam bidang pendidikan, penelitian dan pemberdayaan masyarakat pada Tahun 2025”, dengan 3 Misi dan 5 tujuan, ada pernyataan yang sama antara Misi dan Tujuan. Keterkaitan dengan Visi perguruan tinggi tidak tercerminkan dalam uraian tersebut.
</t>
  </si>
  <si>
    <t>Disebutkan dalam LED,  Visi PS merupakan turunan dari Visi Fakultas Teknik dan Visi Universitas Pejuang Republik Indonesia Makassar sebagai Lembaga pendidikan yang terkemuka, melahirkan manusia berilmu, beramal ilmiah dan terutama yang terkait dengan pengembangan ilmu pengetahuan, teknologi serta memperjuangkan kepentingan masyarakat secara global. Sedangkan  visi prodi adalah “Menjadi Program Studi Teknik Mesin yang berdaya saing secara global dan inovatif dalam bidang pendidikan, penelitian dan
pemberdayaan masyarakat pada Tahun 2025. Tetapi dalam LED tidak dijelaskan VMTS Fakultas sebagai UPPS.</t>
  </si>
  <si>
    <t>Dalam dokumen LED tidak ada penjelasan tentang bagaimana mekanisme dan keterlibatan pemangku kepentingan dalam penetapan VMTS UPPS.</t>
  </si>
  <si>
    <t>Tidak ada penjelasan tentang mekanisme keterlibatan pemangku kepentingan dalam penyusunan VMTS Prodi di dalam LED</t>
  </si>
  <si>
    <t>UPPS menetapkan 2 Strategi untuk mewujudkan Renstra Jangka Panjang PS Teknik Mesin, namun kurang didasarkan pada hasil analisis yang komprehensi, dan tidak memuat indikator target serta waktu ketercapaiannya.</t>
  </si>
  <si>
    <t>Strategi untuk mencapai tujuan dan disusun tidak berdasarkan analisis yang sistematis, dan  tidak ada penjelasan yang menunjukkan  bukti efektifitasnya. Yang dijelaskan hanya strategi jangka panjang dan menengah</t>
  </si>
  <si>
    <r>
      <rPr>
        <b/>
        <sz val="10"/>
        <color rgb="FF000000"/>
        <rFont val="Calibri"/>
      </rPr>
      <t>C.2. Tata Pamong, Tata Kelola dan Kerjasama</t>
    </r>
    <r>
      <rPr>
        <sz val="10"/>
        <color rgb="FF000000"/>
        <rFont val="Calibri"/>
      </rPr>
      <t xml:space="preserve">
C.2.4. Indikator Kinerja Utama
C.2.4.a) Sistem Tata Pamong
A. Kelengkapan struktur organisasi dan keefektifan penyelenggaraan organisasi.
B. Perwujudan good governance dan pemenuhan lima pilar sistem tata pamong, yang mencakup: 1) Kredibel, 2) Transparan, 3) Akuntabel, 4) Bertanggung jawab, 5) Adil.</t>
    </r>
  </si>
  <si>
    <t xml:space="preserve">A. UPPS tidak menjelaskan dokumen formal struktur organisasi dan tata kerja yang dilengkapi tugas dan fungsinya. Ada uraian sedikit secara ringkas tentang desfinisi dan beberapa tugas dari dekan dan wakinya, Kaprodi, Senat, Ka-Lab, Ka-TU, dosen dan mahasiswa.
B. Dalam dokumen tidak ada penjelasan tentang praktek baik terkait dengan Perwujudan good university  governance </t>
  </si>
  <si>
    <t>A) UPPS memiliki dokumen formal struktur organisasi dalm dekanat Teknik. Organ dari struktur organisasi FT terdiri dari: Dekan, Wakil Dekan I, II, dan III, Kaprodi, Senat Fakultas, Kalab., Kepala Tata usaha. Masing-masing organ mempunyai fungsi dan tanggungjawabnya  Namun tidak dilengkapi dgn bagan organisasi yang menunjukkan hirarki sebuah organisasi, dan tidak ada penjelasan  konsistensi tata pamong. B) Dalam LED tidak ada uraian tentang perwujudan good governance dan pemenuhan lima pilar sistem tata pamong, terdapat aspek tanggungjawab yang dituangkan dalam bentuk peraturan akademik dan program kerja, namun tidak ada data pendukung</t>
  </si>
  <si>
    <t xml:space="preserve">C.2.4.b) Kepemimpinan dan Kemampuan Manajerial
A. Komitmen pimpinan UPPS.
B. Kapabilitas pimpinan UPPS, mencakup aspek: 1) perencanaan, 2) pengorganisasian, 3) penempatan personel, 4) pelaksanaan, 5) pengendalian dan pengawasan, dan 6) pelaporan yang menjadi dasar tindak lanjut. </t>
  </si>
  <si>
    <t xml:space="preserve">A. Dalam dokumen LED tidak ada uraian yang terkait dengan karakter kepemimpinan yang mencakup  kepemimpinan operasional, organisasi, dan publik. 
B. Dalam dokumen LED juga tidak ada penjelasan tentang Kapabilitas pimpinan UPPS yang mencakup 5 aspek (perencanaan, pengorganisasian, penempatan personel, pelaksanaan,  pengendalian dan pengawasan, serta pelaporan yang menjadi dasar tindak lanjut). 
</t>
  </si>
  <si>
    <t>A). Tidak ada uraian yang berhubungan dengan karaktersitik kepemimpinan, baik operasional, oragniasi maupun publik.B) Tidak ada penjelasan lanjutan yang konkrit terkait kapabilitas pimpinan UPPS yang menyangkut aspek perencanaan, pengorganisasian, penempatan personel, pelaksanaan, pengendalian dan pengawasan dan pelaporan yg menjadi dasar tindak lanjut.</t>
  </si>
  <si>
    <t>C.2.4.c) Kerjasama
Mutu, manfaat, kepuasan dan keberlanjutan kerjasama pendidikan, penelitian dan PkM yang relevan dengan program studi. UPPS memiliki bukti yang sahih terkait kerjasama yang ada telah memenuhi 3 aspek berikut: 1) memberikan manfaat bagi program studi dalam pemenuhan proses pembelajaran, penelitian, PkM. 2) memberikan peningkatan kinerja tridharma dan fasilitas pendukung program studi. 3) memberikan kepuasan kepada mitra industri dan mitra kerjasama lainnya, serta menjamin keberlanjutan kerjasama dan hasilnya.</t>
  </si>
  <si>
    <t xml:space="preserve">Uraian dalam dokumen LED terkait dengan kerjasama ada informasi yang memenuhi 1 aspek, dijelaskan secara singkat tentang kerjasama yang telah dilakukan selama 3 tahun, yaitu dengan CV. Naim Ganindo, Universitas Negeri Makassar, Balai Latihan Kerja Industri Makassar dan Politeknik di Makassar. Bentuk kegiatan kerjasama untuk kerja praktek, praktikum, pelatihan. Tidak ada informasi yang berhubungan dengan bukti yang sahih terkait kerjasama yang ada telah memenuhi 3 aspek (memberikan peningkatan kinerja tridharma , memberikan kepuasan kepada mitra industri, serta menjamin keberlanjutan kerjasama dan hasilnya). </t>
  </si>
  <si>
    <t>UPPS memiliki bukti terkait kegiatan kerjasama yang telah memenuhi hanya 1 aspek, yaitu program kerjasama yang memberi manfaat dari kerjasama dengan  beberapa instansi negeri, seperti: UN Makassar, Balai Latian Kerja Industri,  dan Politeknik maupun instansi swasta, seperti: CV Naim Ganindo</t>
  </si>
  <si>
    <t xml:space="preserve">A. Kerjasama pendidikan, penelitian, dan PkM yang relevan dengan program studi dan dikelola oleh UPPS dalam 3 tahun terakhir.
B. Kerjasama tingkat internasional, nasional, wilayah/lokal yang relevan dengan program studi dan dikelola oleh UPPS dalam 3 tahun terakhir.
Tabel 1 LKPS </t>
  </si>
  <si>
    <t xml:space="preserve">Dalam 3 tahun terakhir ada kerjasama di bidang pendidikan yaitu: 5 kerjasama dengan perguruan tinggi di Makassar, dan 1 kerjasama PkM dengan Puskesmas  Mattiro Bulu  Kab. Pinrang Data dari tabel  3.a.1: Jumlah dosen tetap yang ditugaskan sebagai pengampu mata kuliah dengan bidang keahlian yang sesuai dengan kompetensi inti program studi yang diakreditasi NDTPS = 4 orang.. </t>
  </si>
  <si>
    <t>Dari tabel 1 LKPS terlihat ada 6 kegiatan kerjasama, yaitu:  1) BLKI kerjasama pada pengabdian kepada masyraka, 2) CV Naim Ganino KS dlm bidang pendidikan, 3) UNM kegiatan pkatikum, 4) Politeknik kegiatan penelitian dan pengabdian kepada masyarakat, 5) STIMIK Dopanegara, kegiatan pendidikan, dan 6) Puskesmas Mattiro Bulu Kab. Pinrang</t>
  </si>
  <si>
    <t>C.2.5 Indikator Kinerja Tambahan
Pelampauan SN-DIKTI (indikator kinerja tambahan) yang ditetapkan oleh UPPS pada tiap kriteria.</t>
  </si>
  <si>
    <t xml:space="preserve">Dalam dokumen LED, tidak ada penjelasan tentang penetapan indikator kinerja tambahan </t>
  </si>
  <si>
    <t>Tidak ada indikator kerja tambahan dalam borang LED</t>
  </si>
  <si>
    <t>C.2.6 Evaluasi Capaian Kinerja
Analisis keberhasilan dan/atau ketidakberhasilan pencapaian kinerja UPPS yang telah ditetapkan di tiap kriteria memenuhi 2 aspek sebagai berikut: 1) capaian kinerja diukur dengan metoda yang tepat, dan hasilnya dianalisis serta dievaluasi, dan 2) analisis terhadap capaian kinerja mencakup identifikasi akar masalah, faktor pendukung keberhasilan dan faktor penghambat ketercapaian standard, dan deskripsi singkat tindak lanjut yang akan dilakukan.</t>
  </si>
  <si>
    <t>Dalam dokumen LED, tidak ada penjelasan tentang laporan pencapaian kinerja dan analisinya</t>
  </si>
  <si>
    <t>Selain analisis SWOT, UPPS tidak memiliki laporan pencapaian kinerja. Dari LED terlihat hasil analisis SWOT masih kualitatif, karena tidak dilengkapi dgn analisis atas capaian kinerja.</t>
  </si>
  <si>
    <t>C.2.7. Penjaminan Mutu
Keterlaksanaan Sistem Penjaminan Mutu Internal (akademik dan nonakademik) yang dibuktikan dengan keberadaan 5 aspek: 1) dokumen legal pembentukan unsur pelaksana penjaminan mutu, 2) ketersediaan dokumen mutu: kebijakan SPMI, manual SPMI, standar SPMI, dan formulir SPMI, 3) terlaksananya siklus penjaminan mutu (siklus PPEPP), 4) bukti sahih efektivitas pelaksanaan penjaminan mutu, dan 5) memiliki external benchmarking dalam peningkatan mutu.</t>
  </si>
  <si>
    <t xml:space="preserve">Dalam dokumen LED, tidak ada penjelasan tentang Dokumen formal SPMI dan Keterlaksanaan Sistem Penjaminan Mutu Internal (akademik dan nonakademik) </t>
  </si>
  <si>
    <t xml:space="preserve">Disebutkan dalam LED, bahwa UPRI Makassar telah memiliki lembaga penjaminan mutu yang organisasinya mulai dari tingkat Universitas hingga di PS. Namun demikian, dalam LED tidak ada uraian tentang pelaksanaan SPMI.  </t>
  </si>
  <si>
    <t>C.2.8. Kepuasan Pemangku Kepentingan
Pengukuran kepuasan layanan manajemen terhadap para pemangku kepentingan: mahasiswa, dosen, tenaga kependidikan, lulusan, pengguna dan mitra yang memenuhi aspek-aspek berikut: 1) menggunakan instrumen kepuasan yang sahih, andal, mudah digunakan, 2) dilaksanakan secara berkala, serta datanya terekam secara komprehensif, 
3) dianalisis dengan metode yang tepat serta bermanfaat untuk pengambilan keputusan, 4) tingkat kepuasan dan umpan balik ditindaklanjuti untuk perbaikan dan peningkatan mutu luaran secara berkala dan tersistem, 5) dilakukan review terhadap pelaksanaan pengukuran kepuasan dosen dan mahasiswa, serta 6) hasilnya dipublikasikan dan mudah diakses oleh dosen dan mahasiswa.</t>
  </si>
  <si>
    <t xml:space="preserve">Dalam dokumen LED, tidak ada penjelasan tentang Pengukuran kepuasan layanan manajemen terhadap para pemangku kepentingan: mahasiswa, dosen, tenaga kependidikan, lulusan, pengguna dan mitra. Ada informasi pada tabel 5c, yaitu  hasil kepuasan mahasiswa terhadap proses pendidikan </t>
  </si>
  <si>
    <t>UPPS melakukan pengukuran kepuasan layanan manajemen thd para pemangku kepentingan, yaitu terdapat informasi pada tabel 5.c tentang kepuasaan mahasiswa terhadap proses pendidikan saja, dan tidak dilengkapi dengan metode yang digunakan untuk melakukan pengukuran. Sedangkan kepuasan dosen dan tenaga kependidikan serta lulusan  dserta pengguna tidak dijelaskan (tidak ditemukan), baik di dlm LED dan maupun dalam  LKPS</t>
  </si>
  <si>
    <r>
      <rPr>
        <b/>
        <sz val="10"/>
        <color rgb="FF000000"/>
        <rFont val="Calibri"/>
      </rPr>
      <t>C.3. Mahasiswa</t>
    </r>
    <r>
      <rPr>
        <sz val="10"/>
        <color rgb="FF000000"/>
        <rFont val="Calibri"/>
      </rPr>
      <t xml:space="preserve">
C.3.4. Indikator Kinerja Utama
C.3.4.a) Kualitas Input Mahasiswa
A. Metoda rekrutmen dan keketatan seleksi.
Tabel 2.a LKPS
</t>
    </r>
  </si>
  <si>
    <t>Dari tabel 2.a:  Jumlah calon mahasiswa yang ikut seleksi = 411, Jumlah calon mahasiswa yang lulus seleksi = 315</t>
  </si>
  <si>
    <t>Metode rekrutmen calon mhs teknik mesin UPRI adalah melalui test masuk dgn persayaratan tertentu. Dari uraian terlihat kebutuhan akan lulusan teknik mesin tinggi. Jumlah calon mhs pendaftar dalam 5 th adalah 411, dan yg lulus seleksi 315, rasio pendaftar dan yang diterima kecil yaitu = 1,3. Artinya peminat di prodi ini masih rendah.</t>
  </si>
  <si>
    <t>C.3.4.b) Daya Tarik Program Studi
A. Peningkatan animo calon mahasiswa.
Tabel 2.a LKPS
B. Mahasiswa asing
Tabel 2.b LKPS</t>
  </si>
  <si>
    <t>A. Peningkatan animo calon mahasiswa: Dalam 3 tahun terakhir jumlah pendaftar mahasiswa baru TS-2 = 70, TS-1 = 50, TS =76.  Yang mendaftar kembali TS-2 = 29, TS-1 = 25, TS = 10. 
B. Tidak ada mahasiswa asing di UPPS dalam 3 tahun teraklhir</t>
  </si>
  <si>
    <t>A). Disebutkan dalam LED, ada beberapa upaya peningkatan animo calon mhs dalam 3 tahun, dimana jumlah pendaftar mahasiswa baru adalah sbb:  TS-2 = 70, TS-1 = 50, TS =76, sedangkan calon mhs yang mendaftar kembali adalah sbb: TS-2 = 29, TS-1 = 25, TS = 10. B. Dalam 3 tahun terakhir Ttdak ada mahasiswa asing di UPPS.</t>
  </si>
  <si>
    <t>C.3.4.c) Layanan Kemahasiswaan
A. Ketersediaan layanan kemahasiswaan di bidang: 1) penalaran, minat dan bakat, 2) kesejahteraan (bimbingan dan konseling, layanan beasiswa, dan layanan kesehatan), dan 3) bimbingan karir dan kewirausahaan.
B. Akses dan mutu layanan kemahasiswaan.</t>
  </si>
  <si>
    <t xml:space="preserve">Informasi dari dokumen LED menjelaskan bahwa Layanan kepada mahasiswa dilakukan dalam bentuk: Bantuan tutorial yang bersifat akademik dilakukan oleh DPA, Informasi dan bimbingan karir yang juga dilakukan oleh Penasehat Akademik, dan Konseling pribadi dan social, dilakukan oleh Ketua Program Studi dan WD III. Tidak ada iformasi tentang bentuk kegiatan layanan, berapa jumlah mahasiswa yang memanfaatkan layanan tersebut dan bagaimana aksesibilitas terhadap layanan tsb oleh mahasiswa.
</t>
  </si>
  <si>
    <t>A). Disebutkan dalam LED, pelayanan mahasiswa meliputi: a) bantuan tutorial yg bersifat akademik, misalnya pembimbingan akademik oleh dosen wali, b) informasi dan bimbingan karir (melalui dialog langsung dosen dan mhs), c) konseling pribadi dan sosial (kegiatan ini belum dijadikan program khusus), dan kasus-kasus yang dialami mhs langsung ditangani oleh Kaprodi dan Wakil Dekan 3. Mahasiswa dapat memanfaatkan dosen wali (PA).  Dosen PA dapat pula dimintai rekomendasi, bila seorang mahasiswa yang bermasalah secara ekonomi hendak mengajukan beasiswa, penundaan SPP atau keringanan SPP. Bagi mahasiswa yang berprestasi, namun memiliki kelemahan dari sisi ekonomi tersedia beberapa jenis beasiswa. B) Ada sedikit penjelasan ttg akses dan mutu layanan, akan tetapi masih normatif.  Belum ada contoh konkrit bentuk dan akses layanan yang dapat mendukung pernyataan tersebut.</t>
  </si>
  <si>
    <r>
      <rPr>
        <b/>
        <sz val="10"/>
        <color rgb="FF000000"/>
        <rFont val="Calibri"/>
      </rPr>
      <t>C.4. Sumber Daya Manusia</t>
    </r>
    <r>
      <rPr>
        <sz val="10"/>
        <color rgb="FF000000"/>
        <rFont val="Calibri"/>
      </rPr>
      <t xml:space="preserve">
C.4.4. Indikator Kinerja Utama
C.4.4.a) Profil Dosen
Kecukupan jumlah DTPS.
Tabel 3.a.1) LKPS</t>
    </r>
  </si>
  <si>
    <t xml:space="preserve">Dari tabel (Tabel 3.1.a): Jumlah dosen tetap yang ditugaskan sebagai pengampu mata kuliah dengan bidang keahlian yang sesuai dengan kompetensi inti program studi yang diakreditasi NDTPS = 4 orang </t>
  </si>
  <si>
    <t>Dari tabel 3.a, ada 6 orang dosen, tetapi dosen yang sesuai dengan bidang keahlian Teknik Mesin hanya 4, artinya terdapat 4 orang DTPS, sedangkan dosen lainnya 1 S3 lingkungan, dan 1 S2 Teknik Industri bid Manajemen.</t>
  </si>
  <si>
    <t>Jumlah DTPS yang berpendidikan tertinggi Doktor = 1 orang (25%)</t>
  </si>
  <si>
    <t>Dari 6 orang DTPS, 1 orang sdh S3 bidang lingkungan</t>
  </si>
  <si>
    <t>Dari tabel 3.a.1: Jabatan akademik DTPS: Guru Besar = 0, Lektor Kepala = 1 dan Lektor = 2</t>
  </si>
  <si>
    <t>Dari 6 DTPS, 2 orang memiliki jabatran lektor kepala, dan 2 lektor , 1 ahli madya, dan 1 orang asisten ahli</t>
  </si>
  <si>
    <t>Rasio jumlah mahasiswa program studi terhadap jumlah DTPS.
Tabel 2.a LKPS
Tabel 3.a.1) LKPS</t>
  </si>
  <si>
    <t>Jumlah mahasiswa pada saat TS = 218. Jumlah dosen tetap yang ditugaskan sebagai pengampu mata kuliah dengan bidang keahlian yang sesuai dengan kompetensi inti program studi yang diakreditasi = 4 orang. Rasio jumlah mahasiswa program studi terhadap jumlah DTPS = 54.50</t>
  </si>
  <si>
    <t>Dari Tabel 2.a, terlihat pada TS terdapat 218 mhs, terdiri dari 189 mhs reguler dan 29 mhs transfer</t>
  </si>
  <si>
    <t>Dari tabel 3.a.2: Rata-rata jumlah mahasiswa yang dibimbing pada PS yang diakreditasi = 5,3 mhs/dosen , Rata-rata jumlah mahasiswa yang dibimbing pada PS lain di PT = 0. Ada kesalahan penulisan dalam tabel (kolom 9)</t>
  </si>
  <si>
    <t>Terdapat 6 orang dosen pembimbing TA, terdiri dari 1 DTPS sesuai bidang, 1 orang dosen bidang linkungan, sedangkan 4 dosen lain (Dr Ahsan Mandra, ST.MT, Prof, Dr. Ir. Duma Hasana DEA, dan Ir Ikram MT, semuanya dosen tidak tetap dgn bidang kehalian Teknik Mesin, sedangkan Ir. H. Abdullah Mappaita, MSME - bukan DTPS dan bukan DTT di PS dgn bidang teknik industri</t>
  </si>
  <si>
    <t>Data yang tertulis pada Tabel 3.a.3 LKPS tidak jelas, perlu verifiklasi saat AL.</t>
  </si>
  <si>
    <t>Dari data di Tabel 3.1, terlihat EWMP jumlah  rata-rata per semeseter adalah 44 sks/6 = 6.67 sks</t>
  </si>
  <si>
    <t>Sesuai dengan tabel 3.a.4, Jumlah dosen tidak tetap = 4 orang (40%)</t>
  </si>
  <si>
    <t>Dari tabel 3.a.4 LKPS, terdapat 4 dosen tidak tetap (DTT), bidang keahlian Teknik Mesin = 40% dari DTPS</t>
  </si>
  <si>
    <t>C.4.4.b) Kinerja Dosen
Pengakuan/rekognisi atas kepakaran/prestasi/kinerja DTPS.
Tabel 3.b.1) LKPS</t>
  </si>
  <si>
    <t>Dijelaskan ada 2 orang mendapatkan sertifikat dalam bidang robot (bukan sebagai rekognisi)</t>
  </si>
  <si>
    <t>Dari 6 orang DTPS, tidak ada yang pernah menjadi staf ahli/nara sumber, tidak pernah menjadi visisting professor, tidak pernah menjadi invited speaker dan tidak pernal manejdi editor atau mitra bestari. Dari tabel 3.b.1, terlihat ada dosen Muh. Yusuf ST.MT pernah mendapat pengakuan di wilayah th 2012 dan 2013 (sepertinya dosen ybs sdh pensiun</t>
  </si>
  <si>
    <t>Dari tabel 3.b.2, Jumlah kegiatan penelitian DTPS dalam 3 tahun terakhir dengan sumber pembiayaan:  luar negeri = 0,  dalam negeri di luar PT = 0, dan PT/mandiri = 36. Cek data pendukung saat AL</t>
  </si>
  <si>
    <t>Sesuai dengan data di tabe 3.b.2 LKPS</t>
  </si>
  <si>
    <t>Dari tabel 3.b.3, Jumlah kegiatan PkM  DTPS dalam 3 tahun terakhir dengan sumber pembiayaan:  luar negeri = 0,  dalam negeri di luar PT = 0, dan PT/mandiri = 36. Cek data pendukung saat AL</t>
  </si>
  <si>
    <t>Sesuai dengan data pada tabel 3.b.3 LKPS</t>
  </si>
  <si>
    <t>Publikasi ilmiah dengan tema yang relevan dengan bidang program studi yang dihasilkan DTPS dalam 3 tahun terakhir, pada : jurnal nasional tidak terakreditasi = 16, seminar wilayah/lokal/PT = 56, Seminar nasional = 42, Seminar internasional = 35 judul. Cek dokumen pendukung</t>
  </si>
  <si>
    <t>Sesuai dengan data pada tabel 3.b.4 LKPS</t>
  </si>
  <si>
    <t>Jumlah judul artikel karya ilmiah DTPS yang disitasi dalam 3 tahun terakhir = 6 artikel. Cek data pendukung saat AL</t>
  </si>
  <si>
    <t>Sesuai dengan tabel 3.b.5 LKPS</t>
  </si>
  <si>
    <t>Luaran lain dari penelitian dan PkM yang dihasilkan DTPS dalam 3 tahun terakhir tidak ada.</t>
  </si>
  <si>
    <t>Sesuai dengan tabel 3.b.7 LKPS</t>
  </si>
  <si>
    <t>C.4.4.c) Pengembangan Dosen
Upaya pengembangan dosen.</t>
  </si>
  <si>
    <t xml:space="preserve">Dalam dokumen LED tidak ada Informasi Rencana pengembangan dosen (Renstra PT). Yang dijelaskan baru berupa informasi tentang upaya yang dilakukan untuk mengembangkan dosen dengan cara: 1).  Menumbuhkembangkan minat dosen untuk melakukan penelitian, baik penelitian yang sifatnya  edukasi maupun sebagai konsultan dalam suatu kegiatan proyek. 2). Mendorong keinginan untuk mengikuti seminar lokal, regional, nasional dan internasional baik sebagai peserta, panitia maupun pemateri.  3). Meningkatkan kemampuan dosen mengajar melalui pelatihan PEKERTI/AA. 4). Secara periodik mengusulkan dosen kepada universitas agar direkomendasi untuk melaksanakan studi lanjut (Program Doktor. Tidak ada data yang menunjukkan hasil kegiatan-kegiatan pengembangan tsb.
</t>
  </si>
  <si>
    <t>Disebutkan dalam LED, ada  4 item pengembangan dosen secara formal dan informal, yaitu: 1) menumbuhkembangkan minat dosen meneliti, 2) mendorong keinginan untuk mengikuti seminar, lokal, regional dam nasional serta internasional, 3) meningkatkan kemampuan dosen mengajar melalui PEKERTI/AA, dan 4) secara periodik mengusulkan dosen kepada universitas agar direkomendasi melaksanakan studi lanjut (S3). Uraian tersebut masih normatif, tidak ada data pendukung yang sahih</t>
  </si>
  <si>
    <t xml:space="preserve">C.4.4.d) Tenaga Kependidikan
A. Kualifikasi dan kecukupan tenaga kependidikan berdasarkan jenis pekerjaannya (administrasi, pustakawan, teknisi, dll.)
B. Kualifikasi dan kecukupan laboran untuk mendukung proses pembelajaran sesuai dengan kebutuhan program studi. </t>
  </si>
  <si>
    <t>A. Tenaga kependidikan: Informasi dalam dokumen LED, Jumlah tenaga kependidikan di PS Teknik Mesin  = 15 orang, dengan kualifikasi pendidikan S1 = 9, dan (SMK/SMA) = 6 orang. Jumlah mahasiswa di UPPS = 218 orang. Rasio tenaga kependidikan terhadap jumlah mahasiswa = 1:14.5 Dilihat dari latar belakang pendidikan pengelolaan administrasi sudah mencukupi, yakni S1 untuk bidang pendidikan, teknisi, bidang akademik dan perpustakaan, SLTA sebagai tenaga pelaksana. 
B. Dari jumlah tendik 15 orang, belum terinformasikan berapa yang menjalankan sebagai laboran untuk menjalankan proses pembelajaran</t>
  </si>
  <si>
    <t xml:space="preserve">A) Tenaga pendukung PS Teknik Mesin Universitas Pejuang Indonesia Makassar berjumlah 15 orang dengan pendidikan S1 sembilan (9)  orang dan SLTA 6 orang. Jumlah mahasiswa di UPPS = 218 orang, sehingga rasion tenaga kependidikan dan mahaiswa = 1:14,5. Dilihat dari latar belakang pendidikan pengelolaan administrasi sudah mencukupi, yakni S1 untuk bidang pendidikan, teknisi, bidang akademik dan perpustakaan, SLTA sebagai tenaga pelaksana. B) Dari jumlah tendik 15 orang, tidak ada informasi berapa jumlah laboran untuk menjalankan proses pembelajaran. </t>
  </si>
  <si>
    <r>
      <rPr>
        <b/>
        <sz val="10"/>
        <color rgb="FF000000"/>
        <rFont val="Calibri"/>
      </rPr>
      <t>C.5. Keuangan, Sarana dan Prasarana</t>
    </r>
    <r>
      <rPr>
        <sz val="10"/>
        <color rgb="FF000000"/>
        <rFont val="Calibri"/>
      </rPr>
      <t xml:space="preserve">
C.5.4. Indikator Kinerja Utama
C.5.4.a) Keuangan
Biaya operasional pendidikan.
Tabel 4 LKPS</t>
    </r>
  </si>
  <si>
    <t>Dari tabel 4: Biaya operasional dalam 3 tahun terakhir pada PS = Rp. 613.257.000,- Jumlah mahasiswa 218 orang. Sehingga dana operasional pendidikan = Rp. 937.702,- CEK DATA SAAT AL</t>
  </si>
  <si>
    <t>Akan diverifikasi saat AL</t>
  </si>
  <si>
    <t>Dari tabel 4: Jumlah dana penelitian yang diperoleh dosen tetap dalam 3 tahun terakhir. = 54.000.000, Jumlah dosen  6 orang. Sehingga dana penelitian per dosen per tahun = Rp. 3.000.000</t>
  </si>
  <si>
    <t>Dari tabel 4: Jumlah dana PkM yang diperoleh dosen tetap dalam 3 tahun terakhir. = 36.000.000, Jumlah dosen  6 orang. Sehingga dana PkM per dosen per tahun = Rp. 2.000.000</t>
  </si>
  <si>
    <t>Realisasi investasi (SDM, sarana dan prasarana) yang mendukung penyelenggaraan tridharma.</t>
  </si>
  <si>
    <t>Dalam dokumen LED tidak ada informasi tentang perencanaan investasi untuk SDM dan Sarana prasarana. Dari tabel Tabel 4. Penggunaan Dana (LKPS) dijelaskan jumlah investasi untuk SDM dan Sarana prasarana dengan besaran dana sbb: Rata-rata investasi/tahun untuk SDM = 18 juta, Sarana = 16,5 juta, dan prasarana = 45 juta. Melihat data tsb, investasi  relative masih kurang.</t>
  </si>
  <si>
    <t>Dalam LED tidak informasi tentang perencanaan investasi untuk SDM, sarana dan prasarana. Dari LKPS tabel 4 dijelaskan, rata-rata biaya operasional pendidikan dalam tiga tahun Prodi adalah Biaya Investasi SDM = 18.000.000, Investasi Sarana = 16.500.000, dan investasi prasarana = 45.000.000 ,</t>
  </si>
  <si>
    <t xml:space="preserve">Keberlanjutan pengadaan dana dan pemanfaatannya diupayakan dengan penambahan jumlah mahasiswa yang masuk agar penyelenggaraan proses pembelajaran dapat efisien dan efektif, namun tidak disampaikan bahwa UPPS memiliki jaminan dan ketersediaan dana yang realistis untuk pengembangan dan opersional 3 tahun ke depan. Hal ini menunjukkan bahwa kecukupan dana masih relative kurang.  </t>
  </si>
  <si>
    <t>Keberlanjutan pengadaan dana dan pemanfaatannya diupayakan dengan penambahan jumlah mahasiswa yang masuk, agar penyelenggaraan proses pembelajaran efisein dan efektif, namun tidak ada informasi tentang dana yang realistik untuk dapat menjamin keberlangsungan operasional tridarma dan pengembangan 3 tahun terakhir.</t>
  </si>
  <si>
    <t>C.5.4.b) Sarana dan Prasarana
Kecukupan, aksesibilitas dan mutu sarana dan prasarana untuk menjamin pencapaian capaian pembelajaran dan meningkatkan suasana akademik.</t>
  </si>
  <si>
    <t>Kecukupan, aksesibilitas dan mutu sarana dan prasarana untuk Program Studi Teknik Mesin belum memadai jika disesuaikan dengan tuntutan mutu luaran mahasiswa. Ruang laboratorium dan peralatannya senantiasa diupayakan secara bertahap dan disesuaikan dengan tingkat kebutuhan serta dana yang tersedia</t>
  </si>
  <si>
    <t>Sarana dan prasarana untuk Program Studi Teknik Mesin belum memadai, baik dari aspek kecukupan, aksesbilitas maupun mutu untuk menjamin capaian pembelajaran. Hingga saat ini yang dilakukan UPPS adalah  ruang laboratorium dan peralatannya diupayakan secara bertahap dan disesuaikan dengan tingkat kebutuhan serta dana yang tersedia di UPPS.</t>
  </si>
  <si>
    <r>
      <rPr>
        <b/>
        <sz val="10"/>
        <color rgb="FF000000"/>
        <rFont val="Calibri"/>
      </rPr>
      <t>C.6. Pendidikan</t>
    </r>
    <r>
      <rPr>
        <sz val="10"/>
        <color rgb="FF000000"/>
        <rFont val="Calibri"/>
      </rPr>
      <t xml:space="preserve">
C.6.4. Indikator Kinerja Utama
C.6.4.a) Kurikulum
A. Keterlibatan pemangku kepentingan dalam proses evaluasi dan pemutakhiran kurikulum.
B. Kesesuaian capaian pembelajaran dengan profil lulusan dan jenjang KKNI/SKKNI.
C. Ketepatan struktur kurikulum dalam pembentukan capaian pembelajaran.</t>
    </r>
  </si>
  <si>
    <t>A. Kurikulum yang digunakan PS teknik Mesin didasarkan pada hasil Lokakarya Fakultas Teknik dan staf dosen Teknik Mesin  Tanggal 14 sampai 15 Mei 2015,  dengan mengacu kepada Kurikulum Berbasis Kompetensi, SK Rektor No. 734 Tahun 2015. Kurikulum disesuaikan dengan Kurikulum Nasional (inti), dimana penetapan kurikulum nasional tersebut telah mempertimbangkan pemenuhan kebutuhan stakeholder. Stakeholders dimaksud tidak dijelaskan lebih lanjut.
B. Struktur kurikulum menyesuaikan dengan SK Menteri Pendidikan Nasional No. 232/U/2000  yang dikelompokkan menjadi. Matakuliah Keilmuan dan Keterampilan (MKK), Matakuliah Keahlian Berkarya (MKB), Matakuliah Prilaku Berkarya (MPB), Matakulaih Berkehidupan Bersama (MBB) dan Matakuliah Pengembangan Kepribadian (MPK) termasuk mata kuliah Ciri Khusus (MCK).Tidak ada informasi apakah dalam penyusunan sudah mengarah pada kesesuain CP dengan jenjang KKNI/SKKNI. Dalam LKPS ada informasi matriks kesesuaian kurikulum dengan CP 
C. Dalam tabel 5.a. LKPS, Struktur kurikulum memuat keterkaitan antara matakuliah dengan capaian pembelajaran lulusan yang digambarkan dalam peta kurikulum yang jelas, masih dijumpai beberapa mata kuliah yang kurang sesuai dengan capaian pembelajaran lulusan.</t>
  </si>
  <si>
    <t>A) Berdasarkan Lokakarya Fakultas Teknik dan staf dosen Teknik Mesin  Tanggal 14 sampai 15 Mei 2015,  kurikulum PS Teknik Mesin telah disusun kembali dengan mengacu kepada Kurikulum Berbasis Kompetensi, SK Rektor No. 734 Tahun 2015. Disebutkan penetapan kurikulum sudah mempertimbangkan pemenuhan kebutuhan stakeholder, evaluasi dan pemutakhiran kurikulum melibatkan pihak intrenal, dan didasarkan atas tuntutan mhs dan lulusaannya mempunyai tingkat kompetensi yg sama dengan PT lainnya.  B) Struktur kurikulum menyesuaikan dengan SK Menteri Pendidikan Nasional No. 232/U/2000 yang dikelompokkan menjadi 5 kelompok (kurikulum berbasis kompetensi), yaitu: 1) MK Keilmuan dan Keterampilan (MKK), 2) MK Keahlian Berkarya (MKB), 3) MK Prilaku Berkarya (MPB), MK Berkehidupan Bersama (MBB) dan MK Pengembangan Kepribadian (MPK) termasuk mata kuliah ciri Khusus (MCK). C) Dalam LKPS ada informasi matriks kesesuaian kurikulum dengan CP.  Jumlah sks total dalam kurikulum adalah 148 sks. Ada beberapa mata kuliah tidak memiliki keterkaitan satu dengan lainnya.</t>
  </si>
  <si>
    <t>C.6.4.b) Karakteristik Proses Pembelajaran
Pemenuhan karakteristik proses pembelajaran, yang terdiri atas sifat: 1) interaktif, 2) holistik, 3) integratif, 4) saintifik, 5) kontekstual, 6) tematik, 7) efektif, 8) kolaboratif, dan 9) berpusat pada mahasiswa.</t>
  </si>
  <si>
    <t>Strategi dan metoda pembelajaran di PS Teknik Mesin  UPRI Makassar melakukan penerapan metode pembelajaran berpusat pada mahasiswa (SCL),bertujuan untuk meningkatkan pengetahuan, pemahaman, keterampilan, motivasi dan kompetensi serta kemandirian mahasiswa</t>
  </si>
  <si>
    <t>Metode pembelajaran yang digunakan di Prodi Teknik Mesin UPRI adalah metode student center learning (SCL), dengan tujuan meningkatkan pengetahuan, pemahaman, keterampilan, motivasi dan kompetensi serta kemandirian mahasiswa. Namun tidak dilengkapi dengan contoh konkrit (riil).</t>
  </si>
  <si>
    <t>C.6.4.c) Rencana Proses Pembelajaran
A. Ketersediaan dan kelengkapan dokumen rencana pembelajaran semester (RPS).
B. Kedalaman dan keluasan RPS sesuai dengan capaian pembelajaran lulusan.</t>
  </si>
  <si>
    <t>A. Dokumen pembelajaran dituangkan dalam Satuan Acara Pengajaran (SAP/RPKPS), yang di dalamnya  tergambarkan struktur dan rentang waktu kegiatan mengajar yang berisi standar kompetensi, kompetensi dasar, tujuan pembelajaran, materi pokok pembelajaran, strategi pembelajaran, indikator kriteria penilaian, alat dan sumber referensi dan penilaian. Keberkalaan peninjauan SAP belum ada informasi dalam dokumen, demikian juga bagaimana aksesibilitas mahasiswa terhadap SAP 
B. Proses mengajar secara umum berpedoman pada Silabus dan Satuan Acara Pengajaran (Silabus dan SAP).  Dokumen RPS tidak terinformasikan</t>
  </si>
  <si>
    <t xml:space="preserve">A)  Proses mengajar secara umum berpedoman pada Silabus dan Satuan Acara Pengajaran (Silabus dan SAP), yang di dalamnya tergambarkan struktur dan rentang waktu kegiatan mengajar yang berisi standar kompetensi, kompetensi dasar, tujuan pembelajaran, materi pokok pembelajaran. Disamping itu, disebutkan dlm LKPS ada RPS, yang berisi target pembelajaran, bahan kajian, metode pembelajaran, waktu dan tahapan, dan asesment   hasil pembelajaran .B) Uraian tentang kedalaman dan keluasan RPS dgn capaian pelajaran sesuai dgn capaian pembelajaran, akan tetapi tidak dapat ditemui contoh yang konkrit. </t>
  </si>
  <si>
    <t>C.6.4.d) Pelaksanaan Proses Pembelajaran
A. Bentuk interaksi antara dosen, mahasiswa dan sumber belajar.
B. Pemantauan kesesuaian proses terhadap rencana pembelajaran.
C. Proses pembelajaran yang terkait dengan penelitian harus mengacu SN Dikti Penelitian: 1) hasil penelitian: harus memenuhi pengembangan IPTEKS, meningkatkan kesejahteraan masyarakat, dan daya saing bangsa. 2) isi penelitian: memenuhi kedalaman dan keluasan materi penelitian sesuai capaian pembelajaran. 3) proses penelitian: mencakup perencanaan, pelaksanaan, dan pelaporan. 4) penilaian penelitian memenuhi unsur edukatif, obyektif, akuntabel, dan transparan.
D. Proses pembelajaran yang terkait dengan PkM harus mengacu SN Dikti PkM: 1) hasil PkM: harus memenuhi pengembangan IPTEKS, meningkatkan kesejahteraan masyarakat, dan daya saing bangsa. 2) isi PkM: memenuhi kedalaman dan keluasan materi PkM sesuai capaian pembelajaran. 3) proses PkM:  mencakup perencanaan, pelaksanaan, dan pelaporan. 4) penilaian PkM memenuhi unsur edukatif, obyektif, akuntabel, dan transparan.
E. Kesesuaian metode pembelajaran dengan capaian pembelajaran. Contoh: RBE (research based education), IBE (industry based education), teaching factory/teaching industry, dll.</t>
  </si>
  <si>
    <t xml:space="preserve">A. Interaksi antara dosen, mahasiswa dan sumber belajar,  antara lain dalam bentuk aktif mengikuti forum seminar, lokakarya, praktek kerja lapang, bimbingan skripsi dan kegiatan-kegiatan lainnya, 
B.  Dalam dokumen LED belum ada informasi tentang pelaksanaannya Pemantauan kesesuaian proses terhadap rencana pembelajaran,
C. Dalam dokumen LED tidak ada informasi tentang Proses pembelajaran yang terkait dengan penelitian. 
D. Dalam dokumen LED tidak ada informasi tentang Proses pembelajaran yang terkait dengan PkM 
E. Dalam dokumen LED tidak ada informasi tentang pengukuran Kesesuaian metode pembelajaran dengan capaian pembelajaran. Contoh: RBE (research based education), IBE (industry based education), teaching factory/teaching industry, dll.
</t>
  </si>
  <si>
    <t>A) Bentuk interaksi antara dosen, mahasiswa dan sumber belajar diwujudkan dlm proses pembelajaran, yaitu mahasiswa diarahkan untuk senantiasa aktif  mengikuti forum seminar, lokakarya, praktek kerja lapang dan kegiatan-kegiatan lainnya yang ada hubungannya dengan pencerdasannya.  B) TIdak ada informasi tentang sistem dan pelaksanaan pemantauan proses pembelajaran. C) Dalam dokumen LED tidak ada informasi tentang Proses pembelajaran yang terkait dengan penelitian.  D) Dalam dokumen LED tidak ada informasi tentang Proses pembelajaran yang terkait dengan PkM E). Dalam dokumen LED tidak ada informasi tentang pengukuran kesesuaian metode pembelajaran dengan capaian pembelajaran. Contoh: RBE (research based education), IBE (industry based education), teaching factory/teaching industry, dll</t>
  </si>
  <si>
    <t>Dari tabel 5a, kolom 5 tentang SKS kuliah tidak ada sksnya, hanya dicontreng. Ada kesalahan dalam pengisian tabel</t>
  </si>
  <si>
    <t>Akan diverifkasi saat AL</t>
  </si>
  <si>
    <t>C.6.4.e) Monitoring dan Evaluasi Proses Pembelajaran
Monitoring dan evaluasi pelaksanaan proses pembelajaran mencakup karakteristik, perencanaan, pelaksanaan, proses pembelajaran dan beban belajar mahasiswa untuk memperoleh capaian pembelajaran lulusan.</t>
  </si>
  <si>
    <t>Dalam dokumen belum ada informasi tentang pelaksanaan monitoring dan evaluasi pelaksanaan proses pembelajaran mencakup:  karakteristik, perencanaan, pelaksanaan, proses pembelajaran dan beban belajar mahasiswa untuk memperoleh capaian pembelajaran lulusan.</t>
  </si>
  <si>
    <t>Disebutkan dalam LED, bhw proses mengajar secara umum berpedoman pd silabus dsn Satuan Acara Pengajaran (Silabus dan SAP). Karakteristik nya adalah SCL,  perencanaan dan pelaksanaan ditunjukkan dengan adanya tujuan materi kuliah dan kesesuaian materi pemebelajaran, proses pembelajaran dilaksanakan dalam satuan sks, yang terdiri dari tatap muka, tugas mandiri, sedangkan beban belajar mhs dihitung sesuai dengan sks yg diambil, dimana 1 sks = 50 menit kegiatan PBM. Namun tidak ada penjelasan pelaksanaan monevnya</t>
  </si>
  <si>
    <t>C.6.4.f) Penilaian Pembelajaran
A. Mutu pelaksanaan penilaian pembelajaran (proses dan hasil belajar mahasiswa) untuk mengukur ketercapaian capaian pembelajaran berdasarkan prinsip penilaian yang mencakup:1) edukatif, 2) otentik, 3) objektif, 4) akuntabel, dan 5) transparan, yang dilakukan secara terintegrasi.
B. Pelaksanaan penilaian terdiri atas teknik dan instrumen penilaian. Teknik penilaian terdiri dari: 1) observasi, 2) partisipasi, 3) unjuk kerja, 4) test tertulis, 5) test lisan, dan 6) angket. Instrumen penilaian terdiri dari: 1) penilaian proses dalam bentuk rubrik, dan/ atau, 2) penilaian hasil dalam bentuk portofolio, atau 3) karya disain.
C. Pelaksanaan penilaian memuat unsur-unsur sebagai berikut: 1) mempunyai kontrak rencana penilaian, 2) melaksanakan penilaian sesuai kontrak atau kesepakatan, 3) memberikan umpan balik dan memberi kesempatan untuk mempertanyakan hasil kepada mahasiswa, 4) mempunyai dokumentasi penilaian proses dan hasil belajar mahasiswa, 5) mempunyai prosedur yang mencakup tahap perencanaan, kegiatan pemberian tugas atau soal, observasi kinerja, pengembalian hasil observasi, dan pemberian nilai akhir, 6) pelaporan penilaian berupa kualifikasi keberhasilan mahasiswa dalam menempuh suatu mata kuliah dalam bentuk huruf dan angka, 7) mempunyai bukti-bukti rencana dan telah melakukan proses perbaikan berdasar hasil monev penilaian.</t>
  </si>
  <si>
    <t>A. Mutu pelaksanaan penilaian pembelajaran, yang diuraikan dalam LED masih sebatas peraturan dan SOP saja. tidak menjelaskan tentang  bagaimana pelaksanaannya termasuk monevnya untuk mengetahui ketercapaiannya proses dan hasil pembelajaran mahasiswa. B. Belum dijelaskan dalam LED tentang Pelaksanaan penilaian yang mencakup teknik dan instrumen penilaian. C. Belum ada bukti yang dijelaskan dalam LED tentang Pelaksanaan penilaian memuat 7 unsur.</t>
  </si>
  <si>
    <t>A) Sistem penilaian yang dijadikan acuan adalah Peraturan Akademik Universitas Pejuang Republik Indonesia, yang tercantum dalam Bab VIII  Pasal 33 mengenai Pemberian Nilai Hasil Belajar. Keberhasilan studi mahasiswa program sarjana dinyatakan dengan Indeks Prestasi (IP) yang dihitung melalui konversi nilai bilangan, seperti yang tercantum pada pasal 30 ayat 1 dari peraturan akademik. Namun tidak ada uraian khusus tentang pelaksanaan penilaian pembelajaran di prodi. B) Kecuali peraturan akademik, dalam LED tidak ada penjelasan tentang teknik dan instrumen penilian. C) Tidak ada penjelasan dalam LED tentang penilaian</t>
  </si>
  <si>
    <t>C.6.4.g) Integrasi kegiatan penelitian dan PkM dalam pembelajaran
Integrasi kegiatan penelitian dan PkM dalam pembelajaran oleh DTPS dalam 3 tahun terakhir.
Tabel 5.b LKPS</t>
  </si>
  <si>
    <t xml:space="preserve">Pada tabel 5.b LKPS, Ada 6 (enam) mata kuliah yang dikembangkan berdasarkan hasil penelitian DTPS. Bentuk integrasi semuanya Studi Kasus. Verifikasi data pendukung saat AL </t>
  </si>
  <si>
    <t>C.6.4.h) Suasana Akademik
Keterlaksanaan dan keberkalaan program dan kegiatan diluar kegiatan pembelajaran terstruktur untuk meningkatkan suasana akademik.
Contoh: kegiatan himpunan mahasiswa, kuliah umum/studium generale, seminar ilmiah, bedah buku.</t>
  </si>
  <si>
    <t>Penjelasan dalam LED masih bersifat normatif. Sebagai contoh bahwa Dosen dan mahasiswa diberi kesempatan seluas-luasnya untuk mengikuti seminar, simposium, diskusi ilmiah dan workshop baik yang diselenggarakan dalam kampus/fakultas maupun di luar kampus. selain itu diberi kesempatan seluas-luasnya untuk mengembangkan otoritas keilmiahan dan kepribadian ilmiah melalui penyelenggaraan/ keikutsertaan dalam pertemuan-pertemuan ilmiah, penelitian dan jasa-jasa pelayanan kepada masyarakat sesuai dengan minat bidang ilmunya masing-masing. Tidak ada penjelasan tentang program apa yang sudah dilaksanakan untuk mendukung suasana akademik.</t>
  </si>
  <si>
    <t xml:space="preserve">Selain kuliah reguler tidak ada program atau kegiatan khusus yang dilakukan di Prodi untuk menjaga dan meningkatkan suasana akademik. Disebutkan dalam LED ada sarana yang dpt digunakan untuk  memelihara interaksi dosen dan mahasiswa. Ada rancangan pengembangan suasana akademik, sepertI: pendekatan dosen ke mhs dalam kegiatan-kegiatan penunjang serta dosen membiasakan diri memberi feedback kepada mhs, akan tetapi tidak ada penjelasan pelaksanaan dan keberkalaan program dan kegiatan </t>
  </si>
  <si>
    <t>C.6.4.i) Kepuasan Mahasiswa
A. Tingkat kepuasan mahasiswa terhadap proses pendidikan.
Tabel 5.c LKPS
B. Analisis dan tindak lanjut dari hasil pengukuran kepuasan mahasiswa.</t>
  </si>
  <si>
    <t>A. Tingkat kepuasan mahasiswa terhadap proses pendidikan Tabel 5.c LKPS: (1). RELIABILITY: Sangat baik = 30.0%,   Baik = 40.0%,  Cukup = 20.0%, Kurang = 10.0%, Skor TKM1 = 0.00, (2). RESPONSIVENESS:  Sangat baik = 35.0%,   Baik = 30.0%,  Cukup = 25.0%, Kurang = 20.0%, Skor TKM2 = 0.75, (3). ASSURANCE:  Sangat baik = 30.0%,   Baik = 40.0%,  Cukup = 20.0%, Kurang = 10.0%, Skor TKM3 = 0.73, (4). EMPHATI:  Sangat baik = 35.0%,   Baik = 30.0%,  Cukup = 25.0%, Kurang = 15.0%, Skor TKM4 = 0.74, (5). TANGIBLE:  Sangat baik = 40.0%,   Baik = 30.0%,  Cukup = 25.0%, Kurang = 5.0%, Skor TKM5 = 0.76 . CEK DOKUMEN PENDUKUNG BERUPA LAPORAN
B. Ada hasil analisis yang dilengkapi dengan rencana tindak lanjut</t>
  </si>
  <si>
    <t xml:space="preserve">A) Dari tabel 5.c disebutkan pada aspek Reliablity tingkat kepuasaanya adalah sbb: 30% SB, 40% B, 20% C dan 10% K (kurang), sdangkan pada Responsiveness adalah sbb:  35% SB, 30% B, 25% C, dan 20% K. Pada Assurance sbb: 30% SB, 40% B, 20% C dan 10% K, pada Empathy adala sbb: 35% SB, 30% B, 25% Cukup dan 15% kurang. Akan diverifikasi saat AL . B) Dilaporkan dalam LED sdh ada analisis, tetapi baru ada rencana tindak lanjut, dan belum ada pelaksanaan </t>
  </si>
  <si>
    <r>
      <rPr>
        <b/>
        <sz val="10"/>
        <color rgb="FF000000"/>
        <rFont val="Calibri"/>
      </rPr>
      <t>C.7. Penelitian</t>
    </r>
    <r>
      <rPr>
        <sz val="10"/>
        <color rgb="FF000000"/>
        <rFont val="Calibri"/>
      </rPr>
      <t xml:space="preserve">
C.7.4. Indikator Kinerja Utama
C.7.4.a) Relevansi Penelitian
Relevansi penelitian pada UPPS mencakup unsur-unsur sebagai berikut: 1) memiliki peta jalan yang memayungi tema penelitian dosen dan mahasiswa, 2) dosen dan mahasiswa melaksanakan penelitian sesuai dengan agenda penelitian dosen yang merujuk kepada peta jalan penelitian, 3) melakukan evaluasi kesesuaian penelitian dosen dan mahasiswa dengan peta jalan, dan 4) menggunakan hasil evaluasi untuk perbaikan relevansi penelitian dan pengembangan keilmuan program studi.</t>
    </r>
  </si>
  <si>
    <t>Dalam dokumen LED tidak ada penjelasan dan dokumen pendukung terkait dengan: 1).kepemilikan peta jalan yang memayungi tema penelitian dosen dan mahasiswa, 2). bahwa dosen dan mahasiswa melaksanakan penelitian sesuai dengan agenda penelitian dosen, 3). Evaluasi kesesuaian penelitian, dan 4). menggunakan hasil evaluasi penelitian untuk perbaikan</t>
  </si>
  <si>
    <t xml:space="preserve">Pada LED dijelaskan, bahwa penelitian di UPPS mengacu kepada program DP2M DIKTI, prodi tidak memiliki peta jalan penelitian, dosen dan mhs melaksanakan penelitian sesuai dgn progrma DIKTI, tidak ada evaluasi kesesuaian penelitian dosen dan mhs dgn peta jalan penelitian, hasil penelitian telah diseminasikan secara intern, tidak dijelaskan, apakah hasil penelitian dievaluasi dan digunakan untuk perbaikan relevansi penelitian dan pengembangan ilmu? </t>
  </si>
  <si>
    <t>C.7.4.b) Penelitian Dosen dan Mahasiswa
Penelitian DTPS yang dalam pelaksanaannya melibatkan mahasiswa program studi dalam 3 tahun terakhir.
Tabel 6.a LKPS</t>
  </si>
  <si>
    <t>Jumlah judul penelitian DTPS dalam 3 tahun terakhir. = 36 (Tabel 3.b.2 Penelitian DTPS ). Jumlah judul penelitian DTPS yang dalam pelaksanaannya melibatkan mahasiswa program studi dalam 3 tahun terakhir = 6. Bentuk kegiatan berupa Tugas Akhir. Cek dokumen pendukung saat AL</t>
  </si>
  <si>
    <r>
      <rPr>
        <b/>
        <sz val="10"/>
        <color rgb="FF000000"/>
        <rFont val="Calibri"/>
      </rPr>
      <t>C.8. Pengabdian kepada Masyarakat</t>
    </r>
    <r>
      <rPr>
        <sz val="10"/>
        <color rgb="FF000000"/>
        <rFont val="Calibri"/>
      </rPr>
      <t xml:space="preserve">
C.8.4. Indikator Kinerja Utama
C.8.4.a) Relevansi PkM
Relevansi PkM pada UPPS mencakup unsur-unsur sebagai berikut: 1) memiliki peta jalan yang memayungi tema PkM dosen dan mahasiswa serta hilirisasi/penerapan keilmuan program studi, 2) dosen dan mahasiswa melaksanakan PkM sesuai dengan peta jalan PkM, 3) melakukan evaluasi kesesuaian PkM dosen dan mahasiswa dengan peta jalan, dan 4) menggunakan hasil evaluasi untuk perbaikan relevansi PkM dan pengembangan keilmuan program studi.</t>
    </r>
  </si>
  <si>
    <t>Dalam dokumen LED tidak ada penjelasan dan dokumen pendukung terkait dengan: 1).kepemilikan peta jalan yang memayungi tema PkM dosen dan mahasiswa, 2). bahwa dosen dan mahasiswa melaksanakan PkM sesuai dengan agenda PkM dosen, 3). Evaluasi kesesuaian PkM dan 4). menggunakan hasil evaluasi PkM untuk perbaikan</t>
  </si>
  <si>
    <t>Disebutkan dalam LED, kegiatan pengabdian kepada Masyarakat (PkM) yang  dilakukan  bersama-sama antara dosen dan mahasiswa  jumlah dan kualitasnya masih rendah, belum ada peta jalan PkM, dosen dan mahasiswa melaksanakan PkM sesuai dgn kebutuhan masyarakat. Hasil evaluasi tdk dijelaskan peruntukannya</t>
  </si>
  <si>
    <t>C.8.4.b) PkM Dosen dan Mahasiswa
PkM DTPS yang dalam pelaksanaannya melibatkan mahasiswa program studi dalam 3 tahun terakhir.
Tabel 7 LKPS</t>
  </si>
  <si>
    <t>Jumlah judul PkM DTPS dalam 3 tahun terakhir. = 36 (Tabel 3.b.3 Pengabdian kepada Masyarakat (PkM) DTPS ). Jumlah judul PkM DTPS yang dalam pelaksanaannya melibatkan mahasiswa program studi dalam 3 tahun terakhir = 6. Bentuk kegiatan berupa Sosialisqasi, pelatihan, dll.  Cek dokumen pendukung saat AL</t>
  </si>
  <si>
    <t>Data PkM yang digunakan adalah data th 2015 s/d 2017. Ada 2 kegiatan Sosialisasi Jurusan dimasukkan kedalam kegiatan PkM. Akan diverifikasi saat AL</t>
  </si>
  <si>
    <r>
      <rPr>
        <b/>
        <sz val="10"/>
        <color rgb="FF000000"/>
        <rFont val="Calibri"/>
      </rPr>
      <t>C.9. Luaran dan Capaian Tridharma</t>
    </r>
    <r>
      <rPr>
        <sz val="10"/>
        <color rgb="FF000000"/>
        <rFont val="Calibri"/>
      </rPr>
      <t xml:space="preserve">
C.9.4. Indikator Kinerja Utama
C.9.4.a) Luaran Dharma  Pendidikan
Analisis pemenuhan capaian pembelajaran lulusan (CPL) yang diukur dengan metoda yang sahih dan relevan, mencakup aspek: 1) keserbacakupan, 
2) kedalaman, dan 3) kebermanfaatan analisis yang ditunjukkan dengan peningkatan CPL dari waktu ke waktu dalam 3 tahun terakhir.</t>
    </r>
  </si>
  <si>
    <t>Metode yang digunakan dalam menganalisis tidak dijelaskan. Yang dianalisis aspek IPK dan Lama studi lulusan dalam 3 tahun terakhir. Tidak dijelaskan tentang masalah dan akar masalah yang muncul sebagai hasil analisis, dan tidak ada informasi pemanfaatan hasil analisis untuk peningkatan CPL</t>
  </si>
  <si>
    <t>Disebutkan dalam LED, luaran dan capaian Tridarma dari UPPS adalah: 1) ketercapaian kompetensi lulusan - dari studi pelacakan th 2017/2018 ketercapaian kompetensi lulusan cukup memadai, 2) Kompetensi sesuai dgn kebutuhan, 3) Lama studi relatif baik 4-4,5 th dan 4) Kepuasan lulusan cukup baik, dan diukur dari kesan dan pesan selama studi di Prodi. Tidak ada metode yg sahih dan relavan untuk menganalisis pemenuhan CPL</t>
  </si>
  <si>
    <t>Data tipe borang, IPK Rata-rata pada TS-2 = 3,45. IPK Rata-rata pada TS-1 = 3,35 dan IPK Rata-rata pada TS = 3.50. Data akan diverifikasi saat AL</t>
  </si>
  <si>
    <t>Rata-rata IPK 3,47 cukup tinggi</t>
  </si>
  <si>
    <t>Data dari tabel 8.b.1. Ada 3 prestasi lokal,  tapi dicpai tahun 2014 dan 2013</t>
  </si>
  <si>
    <t>Tidak ada prestasi mahasiswa, prestasi hanya ada pd th 2013, dan 2014</t>
  </si>
  <si>
    <t xml:space="preserve">Data dari tabel 8.b.. Ada 4 prestasi lokal,  tapi 1 prestasi diperoleh tahun 2014. </t>
  </si>
  <si>
    <t>Dari tabel 8.b.2 terlihat ada 2 prestasi th 2016, dan 1 prestasi tahun 2017. Seluruh prestasi adalah di wilayah/lokal, tidak disebutkan level prestasi</t>
  </si>
  <si>
    <t>Data sudah sesuai dengan Tabel 8c.</t>
  </si>
  <si>
    <t>Jumlah mhs yang masuk pd TS-6 = 73, dan yang lulus pada TS=1, sangat rendah</t>
  </si>
  <si>
    <t>Rata-rata persentase kelulusan tepat waktu hanya 2,6%, sangat rendah</t>
  </si>
  <si>
    <t xml:space="preserve">Pelaksanaan tracer study yang mencakup 5 aspek sebagai berikut: 1) pelaksanaan tracer study terkoordinasi di tingkat PT, 2) kegiatan tracer study dilakukan secara reguler setiap tahun dan terdokumentasi, 3) isi kuesioner mencakup seluruh pertanyaan inti tracer study DIKTI, 4) ditargetkan pada seluruh populasi (lulusan TS-4 s.d. TS-2), dan 5) hasilnya disosialisasikan dan digunakan untuk pengembangan kurikulum dan pembelajaran. </t>
  </si>
  <si>
    <t xml:space="preserve">Dalam LED tidak ada informasi yang terkait dengan Pelaksanaan tracer study </t>
  </si>
  <si>
    <t>Tidak ada penjelasan dalam LED dan LKPS tentang tracer study</t>
  </si>
  <si>
    <t>Waktu tunggu.
Tabel 8.d.1) LKPS</t>
  </si>
  <si>
    <t>Data sudah sesuai dengan Tabel 8.d.1.</t>
  </si>
  <si>
    <t>Data sudah sesuai dengan Tabel 8.d.2.</t>
  </si>
  <si>
    <t>Data sudah sesuai dengan Tabel 8.e.1.</t>
  </si>
  <si>
    <t>Data sudah sesuai dengan Tabel 8.e.2.</t>
  </si>
  <si>
    <t>C.9.4.b) Luaran Dharma Penelitian dan PkM 
Publikasi ilmiah mahasiswa, yang dihasilkan secara mandiri atau bersama DTPS, dengan judul yang relevan dengan bidang program studi dalam 3 tahun terakhir.
Tabel 8.f.1) LKPS</t>
  </si>
  <si>
    <t>Data sudah sesuai dengan Tabel 8.f.1.</t>
  </si>
  <si>
    <r>
      <t xml:space="preserve">D  Analisis dan Penetapan Program Pengembangan
D.1 
Analisis dan Capaian Kinerja
</t>
    </r>
    <r>
      <rPr>
        <sz val="10"/>
        <color rgb="FF000000"/>
        <rFont val="Calibri"/>
      </rPr>
      <t>Keserbacakupan (kelengkapan, keluasan, dan kedalaman), ketepatan, ketajaman, dan kesesuaian analisis capaian kinerja serta konsistensi dengan setiap kriteria.</t>
    </r>
  </si>
  <si>
    <t>Dalam melakukan analisis SWOT tidak didasarkan pada hasil enalisis dan evaluasi pada setiap kriteria, sehingga penulisan aspek internal yang berupa Kekuatan (S) dan Kelemahan (W) tidak berdasar.  Demikian juga dengan aspek eksternal yang berupa peluang (O) dan Ancaman (T) yang dituliskan tidak berdasar, karena di butir 1 (satu) UPPS tidak melakukan identifikasi lingkungan eksternal.</t>
  </si>
  <si>
    <t>Dalam melakukan analisis capaian kinerja dengan metode SWOT tidak didasarkan dgn data hasil analisis seluruh kriteria. Tidak ada kejelasan paramater SWOT, seperti strength, Weakness, Opportunity dan Treath tidak didukung oleh data yang sahih.  Disamping itu UUPS juga tidak melakukan kajian atau analisis eksternal. Sehingga, ketepatan dan ketajaman analisis tidak dapat dipenuhi. Akibatnya susunan program pengembangan masing-masing kriteria yang ditetapkan dalam LED,  tidak didasarkan pada analisis yang tepat</t>
  </si>
  <si>
    <r>
      <t xml:space="preserve">D.2 
Analisis SWOT atau Analisis Lain yang Relevan
</t>
    </r>
    <r>
      <rPr>
        <sz val="10"/>
        <color rgb="FF000000"/>
        <rFont val="Calibri"/>
      </rPr>
      <t>Ketepatan analisis SWOT atau analisis yang relevan di dalam mengembangkan strategi.</t>
    </r>
  </si>
  <si>
    <t>Sebagai akibat dari butir 66, Ketepatan analisis SWOT atau analisis yang relevan di dalam mengembangkan strategi tidak relevan/tidak terpenuhi.</t>
  </si>
  <si>
    <t>UPPS melakukan analisis SWOT dlm mengembangkan strategi, dan dibagi menjadi 6 kriteria. Namun program ini masih normatif, tidak ada data yang dianalisis. Artinya, analisis SWOT tidak ada keterkaitan dengan hasil analisis capaian kinerja yang ditargetkan</t>
  </si>
  <si>
    <r>
      <t xml:space="preserve">D.3
Program Pengembangan
</t>
    </r>
    <r>
      <rPr>
        <sz val="10"/>
        <color rgb="FF000000"/>
        <rFont val="Calibri"/>
      </rPr>
      <t>Ketepatan di dalam menetapkan prioritas program pengembangan.</t>
    </r>
  </si>
  <si>
    <t>Prioritas Program pengembangan yang ditetapkan didasarkan pada hasil analisis SWOT yang tidak didasarkan pada hasil analisis dan evaluasi kinerja dari setiap kriteria.</t>
  </si>
  <si>
    <t>Hasil analisis SWOT dari setiap aspek menunjukkan, bahwa UPPS menetapkan prioritas program pengembangan. Tetapi, karena SWOT tidak didasari hasil analisis seluruh kriteria, dan hanya deskripsi tanpa data pendukung yang teranalisis, hanya kebutuhan UPPS dan PS di masa depan saja</t>
  </si>
  <si>
    <r>
      <t xml:space="preserve">D.4 
Program Keberlanjutan
</t>
    </r>
    <r>
      <rPr>
        <sz val="10"/>
        <color rgb="FF000000"/>
        <rFont val="Calibri"/>
      </rPr>
      <t>UPPS memiliki kebijakan, ketersediaan sumberdaya, kemampuan melaksanakan, dan kerealistikan program.</t>
    </r>
  </si>
  <si>
    <t>UPPS tidak memiliki kebijakan dan upaya yang diturunkan ke dalam berbagai peraturan untuk menjamin keberlanjutan program yang mencakup 4 aspek.</t>
  </si>
  <si>
    <t xml:space="preserve"> UPPS tidak  memiliki kebijakan dan upaya untuk menjamin keberlanjutan program, baik dalam LED maupun dalam LKPS</t>
  </si>
  <si>
    <t>Berita acara visitasi ini ditandatangani oleh Asesor, Ketua Program Studi dan Pimpinan Unit Pengelola, setelah isi tabel tersebut di atas diperiksa dan disetujui oleh kedua pihak.</t>
  </si>
  <si>
    <t>Ketua Program Studi</t>
  </si>
  <si>
    <t>(Nama Ketua Program Studi)</t>
  </si>
  <si>
    <t>Pimpinan Unit Pengelola</t>
  </si>
  <si>
    <t>(Nama Pimpinan Unit Pengelola)</t>
  </si>
  <si>
    <t>REKOMENDASI PEMBINAAN PROGRAM STUDI</t>
  </si>
  <si>
    <t>Nama Perguruan Tinggi</t>
  </si>
  <si>
    <r>
      <t>Rekomendasi ditulis dalam bentuk uraian menyeluruh dan kualitatif atas setiap kriteria yang menjelaskan kekuatan (keunggulan) dan kelemahan dari program studi dan unit pengelola yang disertai dengan pemberian apresiasi/ komendasi (</t>
    </r>
    <r>
      <rPr>
        <i/>
        <sz val="12"/>
        <color rgb="FF000000"/>
        <rFont val="Calibri"/>
      </rPr>
      <t>commendation</t>
    </r>
    <r>
      <rPr>
        <sz val="12"/>
        <color rgb="FF000000"/>
        <rFont val="Calibri"/>
      </rPr>
      <t>) atas hasil yang telah dicapai, serta pemberian saran perbaikan/rekomendasi (</t>
    </r>
    <r>
      <rPr>
        <i/>
        <sz val="12"/>
        <color rgb="FF000000"/>
        <rFont val="Calibri"/>
      </rPr>
      <t>recommendation</t>
    </r>
    <r>
      <rPr>
        <sz val="12"/>
        <color rgb="FF000000"/>
        <rFont val="Calibri"/>
      </rPr>
      <t>) untuk hal-hal yang masih harus diperbaiki dan ditingkatkan.</t>
    </r>
  </si>
  <si>
    <t xml:space="preserve">Berdasarkan hasil asesmen kecukupan dan asesmen lapangan, tim asesor memberikan rekomendasi pembinaan program studi dan unit pengelola sebagai berikut. </t>
  </si>
  <si>
    <t>KRITERIA 1  VISI, MISI, TUJUAN DAN STRATEGI</t>
  </si>
  <si>
    <t>KRITERIA 2  TATA PAMONG, TATA KELOLA DAN KERJASAMA</t>
  </si>
  <si>
    <t>KRITERIA 3  MAHASISWA</t>
  </si>
  <si>
    <t>KRITERIA 4  SUMBER DAYA MANUSIA</t>
  </si>
  <si>
    <t>KRITERIA 5  KEUANGAN, SARANA DAN PRASARANA</t>
  </si>
  <si>
    <t>KRITERIA 6  PENDIDIKAN</t>
  </si>
  <si>
    <t>KRITERIA 7  PENELITIAN</t>
  </si>
  <si>
    <t>KRITERIA 8  PENGABDIAN KEPADA MASYARAKAT</t>
  </si>
  <si>
    <t>KRITERIA 9  LUARAN DAN CAPAIAN TRIDHARMA</t>
  </si>
  <si>
    <t>Bandung, 17 August 2019</t>
  </si>
  <si>
    <t>Asesor 1</t>
  </si>
  <si>
    <t>Asesor 2</t>
  </si>
  <si>
    <t>PENILAIAN ASESMEN LAPANGAN</t>
  </si>
  <si>
    <t>Nilai Asesmen Kecukupan</t>
  </si>
  <si>
    <t>Syarat Perlu Terakreditasi</t>
  </si>
  <si>
    <t>Syarat Perlu Peringkat Unggul</t>
  </si>
  <si>
    <t>Syarat Perlu Peringkat Baik Sekali</t>
  </si>
  <si>
    <t>BOBOT</t>
  </si>
  <si>
    <t>SKOR x BOBOT</t>
  </si>
  <si>
    <t>SYARAT PERLU TERAKREDITASI</t>
  </si>
  <si>
    <t>SYARAT PERLU PERINGKAT 
UNGGUL</t>
  </si>
  <si>
    <t>SYARAT PERLU PERINGKAT 
BAIK SEKALI</t>
  </si>
  <si>
    <t>Skor min. = 2,0</t>
  </si>
  <si>
    <t>Skor min. = 3,5</t>
  </si>
  <si>
    <t>Skor min. = 3,0</t>
  </si>
  <si>
    <t xml:space="preserve">Apresiasi/Komendasi
Rekomendasi </t>
  </si>
  <si>
    <t xml:space="preserve">Apresiasi/Komendasi
Rekomendasi  </t>
  </si>
  <si>
    <t>Apresiasi/Komendasi
Rekomendasi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</si>
</sst>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
    <numFmt numFmtId="165" formatCode="0.0"/>
    <numFmt numFmtId="166" formatCode="_(* #,##0_);_(* \(#,##0\);_(* &quot;-&quot;??_);_(@_)"/>
    <numFmt numFmtId="167" formatCode="[$-409]d\-mmm\-yyyy;@"/>
  </numFmts>
  <fonts count="28" x14ac:knownFonts="1">
    <font>
      <sz val="11"/>
      <color rgb="FF000000"/>
      <name val="Calibri"/>
    </font>
    <font>
      <sz val="12"/>
      <color rgb="FF000000"/>
      <name val="Calibri"/>
    </font>
    <font>
      <b/>
      <sz val="16"/>
      <color rgb="FFFFFFFF"/>
      <name val="Calibri"/>
    </font>
    <font>
      <b/>
      <sz val="26"/>
      <color rgb="FFFFFFFF"/>
      <name val="Calibri"/>
    </font>
    <font>
      <b/>
      <sz val="14"/>
      <color rgb="FFFFFFFF"/>
      <name val="Calibri"/>
    </font>
    <font>
      <sz val="18"/>
      <color rgb="FF000000"/>
      <name val="Calibri"/>
    </font>
    <font>
      <b/>
      <sz val="18"/>
      <color rgb="FFFFFFFF"/>
      <name val="Calibri"/>
    </font>
    <font>
      <b/>
      <sz val="18"/>
      <color rgb="FF000000"/>
      <name val="Calibri"/>
    </font>
    <font>
      <sz val="11"/>
      <color rgb="FFFFFF00"/>
      <name val="Calibri"/>
    </font>
    <font>
      <u/>
      <sz val="11"/>
      <color rgb="FF000000"/>
      <name val="Calibri"/>
    </font>
    <font>
      <b/>
      <sz val="11"/>
      <color rgb="FFFFFFFF"/>
      <name val="Calibri"/>
    </font>
    <font>
      <b/>
      <sz val="18"/>
      <color rgb="FFFFFF00"/>
      <name val="Calibri"/>
    </font>
    <font>
      <sz val="14"/>
      <color rgb="FF000000"/>
      <name val="Calibri"/>
    </font>
    <font>
      <sz val="14"/>
      <color rgb="FF92D050"/>
      <name val="Calibri"/>
    </font>
    <font>
      <sz val="9"/>
      <color rgb="FF000000"/>
      <name val="Arial"/>
    </font>
    <font>
      <sz val="11"/>
      <color rgb="FFFFFFFF"/>
      <name val="Calibri"/>
    </font>
    <font>
      <b/>
      <sz val="12"/>
      <color rgb="FF000000"/>
      <name val="Calibri"/>
    </font>
    <font>
      <b/>
      <sz val="11"/>
      <color rgb="FF000000"/>
      <name val="Calibri"/>
    </font>
    <font>
      <sz val="9"/>
      <color rgb="FF000000"/>
      <name val="Calibri"/>
    </font>
    <font>
      <b/>
      <sz val="10"/>
      <color rgb="FF000000"/>
      <name val="Calibri"/>
    </font>
    <font>
      <sz val="10"/>
      <color rgb="FF000000"/>
      <name val="Calibri"/>
    </font>
    <font>
      <b/>
      <sz val="22"/>
      <color rgb="FF000000"/>
      <name val="Calibri"/>
    </font>
    <font>
      <b/>
      <sz val="12"/>
      <color rgb="FFFFFFFF"/>
      <name val="Calibri"/>
    </font>
    <font>
      <b/>
      <sz val="12"/>
      <color rgb="FFFFFF00"/>
      <name val="Calibri"/>
    </font>
    <font>
      <i/>
      <sz val="11"/>
      <color rgb="FF000000"/>
      <name val="Calibri"/>
    </font>
    <font>
      <vertAlign val="subscript"/>
      <sz val="11"/>
      <color rgb="FF000000"/>
      <name val="Calibri"/>
    </font>
    <font>
      <sz val="11"/>
      <color rgb="FF000000"/>
      <name val="Symbol"/>
    </font>
    <font>
      <i/>
      <sz val="12"/>
      <color rgb="FF000000"/>
      <name val="Calibri"/>
    </font>
  </fonts>
  <fills count="21">
    <fill>
      <patternFill patternType="none"/>
    </fill>
    <fill>
      <patternFill patternType="gray125"/>
    </fill>
    <fill>
      <patternFill patternType="none"/>
    </fill>
    <fill>
      <patternFill patternType="solid">
        <fgColor rgb="FF008080"/>
        <bgColor rgb="FFFFFFFF"/>
      </patternFill>
    </fill>
    <fill>
      <patternFill patternType="solid">
        <fgColor rgb="FFFFFF00"/>
        <bgColor rgb="FFFFFFFF"/>
      </patternFill>
    </fill>
    <fill>
      <patternFill patternType="solid">
        <fgColor rgb="FFBFBFBF"/>
        <bgColor rgb="FFFFFFFF"/>
      </patternFill>
    </fill>
    <fill>
      <patternFill patternType="solid">
        <fgColor rgb="FF00FF00"/>
        <bgColor rgb="FFFFFFFF"/>
      </patternFill>
    </fill>
    <fill>
      <patternFill patternType="solid">
        <fgColor rgb="FF00B050"/>
        <bgColor rgb="FFFFFFFF"/>
      </patternFill>
    </fill>
    <fill>
      <patternFill patternType="solid">
        <fgColor rgb="FFFFFFFF"/>
        <bgColor rgb="FFFFFFFF"/>
      </patternFill>
    </fill>
    <fill>
      <patternFill patternType="solid">
        <fgColor rgb="FFDAEEF3"/>
        <bgColor rgb="FFFFFFFF"/>
      </patternFill>
    </fill>
    <fill>
      <patternFill patternType="solid">
        <fgColor rgb="FF66FF33"/>
        <bgColor rgb="FFFFFFFF"/>
      </patternFill>
    </fill>
    <fill>
      <patternFill patternType="solid">
        <fgColor rgb="FF000000"/>
        <bgColor rgb="FFFFFFFF"/>
      </patternFill>
    </fill>
    <fill>
      <patternFill patternType="solid">
        <fgColor rgb="FF388194"/>
        <bgColor rgb="FFFFFFFF"/>
      </patternFill>
    </fill>
    <fill>
      <patternFill patternType="solid">
        <fgColor rgb="FFD8D8D8"/>
        <bgColor rgb="FFFFFFFF"/>
      </patternFill>
    </fill>
    <fill>
      <patternFill patternType="solid">
        <fgColor rgb="FFDBE5F1"/>
        <bgColor rgb="FFFFFFFF"/>
      </patternFill>
    </fill>
    <fill>
      <patternFill patternType="solid">
        <fgColor rgb="FFF2DBDB"/>
        <bgColor rgb="FFFFFFFF"/>
      </patternFill>
    </fill>
    <fill>
      <patternFill patternType="solid">
        <fgColor rgb="FFF79646"/>
        <bgColor rgb="FFFFFFFF"/>
      </patternFill>
    </fill>
    <fill>
      <patternFill patternType="solid">
        <fgColor rgb="FFFBD4B4"/>
        <bgColor rgb="FFFFFFFF"/>
      </patternFill>
    </fill>
    <fill>
      <patternFill patternType="solid">
        <fgColor rgb="FFEAF1DD"/>
        <bgColor rgb="FFFFFFFF"/>
      </patternFill>
    </fill>
    <fill>
      <patternFill patternType="solid">
        <fgColor rgb="FF0070C0"/>
        <bgColor rgb="FFFFFFFF"/>
      </patternFill>
    </fill>
    <fill>
      <patternFill patternType="solid">
        <fgColor rgb="FFFF0000"/>
        <bgColor rgb="FF000000"/>
      </patternFill>
    </fill>
  </fills>
  <borders count="61">
    <border>
      <left/>
      <right/>
      <top/>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right style="medium">
        <color rgb="FF000000"/>
      </right>
      <top style="thin">
        <color rgb="FF000000"/>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medium">
        <color rgb="FF000000"/>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style="medium">
        <color rgb="FF000000"/>
      </right>
      <top style="thin">
        <color rgb="FF000000"/>
      </top>
      <bottom/>
      <diagonal/>
    </border>
    <border>
      <left style="medium">
        <color rgb="FF000000"/>
      </left>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thin">
        <color rgb="FF000000"/>
      </left>
      <right style="medium">
        <color rgb="FF000000"/>
      </right>
      <top/>
      <bottom style="medium">
        <color rgb="FF000000"/>
      </bottom>
      <diagonal/>
    </border>
    <border>
      <left style="thin">
        <color rgb="FF000000"/>
      </left>
      <right/>
      <top/>
      <bottom/>
      <diagonal/>
    </border>
    <border>
      <left style="thick">
        <color rgb="FF000000"/>
      </left>
      <right style="thin">
        <color rgb="FF000000"/>
      </right>
      <top style="thick">
        <color rgb="FF000000"/>
      </top>
      <bottom style="thin">
        <color rgb="FF000000"/>
      </bottom>
      <diagonal/>
    </border>
    <border>
      <left/>
      <right/>
      <top style="thick">
        <color rgb="FF000000"/>
      </top>
      <bottom/>
      <diagonal/>
    </border>
    <border>
      <left style="thin">
        <color rgb="FF000000"/>
      </left>
      <right style="thin">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right/>
      <top/>
      <bottom style="thick">
        <color rgb="FF000000"/>
      </bottom>
      <diagonal/>
    </border>
    <border>
      <left style="thin">
        <color rgb="FF000000"/>
      </left>
      <right style="thin">
        <color rgb="FF000000"/>
      </right>
      <top style="thin">
        <color rgb="FF000000"/>
      </top>
      <bottom style="thick">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medium">
        <color rgb="FF000000"/>
      </top>
      <bottom/>
      <diagonal/>
    </border>
    <border>
      <left style="medium">
        <color rgb="FF000000"/>
      </left>
      <right style="thin">
        <color rgb="FF000000"/>
      </right>
      <top style="medium">
        <color rgb="FF000000"/>
      </top>
      <bottom style="thin">
        <color rgb="FF000000"/>
      </bottom>
      <diagonal/>
    </border>
    <border>
      <left/>
      <right style="thin">
        <color rgb="FF000000"/>
      </right>
      <top/>
      <bottom style="medium">
        <color rgb="FF000000"/>
      </bottom>
      <diagonal/>
    </border>
    <border>
      <left/>
      <right style="thin">
        <color rgb="FF000000"/>
      </right>
      <top style="medium">
        <color rgb="FF000000"/>
      </top>
      <bottom/>
      <diagonal/>
    </border>
    <border>
      <left/>
      <right style="thin">
        <color rgb="FF000000"/>
      </right>
      <top/>
      <bottom/>
      <diagonal/>
    </border>
    <border>
      <left/>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style="medium">
        <color rgb="FF000000"/>
      </bottom>
      <diagonal/>
    </border>
  </borders>
  <cellStyleXfs count="1">
    <xf numFmtId="0" fontId="0" fillId="0" borderId="0"/>
  </cellStyleXfs>
  <cellXfs count="441">
    <xf numFmtId="0" fontId="0" fillId="2" borderId="0" xfId="0" applyFill="1"/>
    <xf numFmtId="0" fontId="1" fillId="2" borderId="0" xfId="0" applyFont="1" applyFill="1"/>
    <xf numFmtId="0" fontId="1" fillId="2" borderId="0" xfId="0" applyFont="1" applyFill="1" applyAlignment="1">
      <alignment horizontal="center"/>
    </xf>
    <xf numFmtId="0" fontId="1" fillId="2" borderId="0" xfId="0" applyFont="1" applyFill="1" applyAlignment="1">
      <alignment wrapText="1"/>
    </xf>
    <xf numFmtId="0" fontId="1" fillId="2" borderId="0" xfId="0" applyFont="1" applyFill="1" applyAlignment="1">
      <alignment horizontal="center" vertical="center"/>
    </xf>
    <xf numFmtId="0" fontId="0" fillId="2" borderId="0" xfId="0" applyFill="1" applyAlignment="1">
      <alignment horizontal="center" vertical="center"/>
    </xf>
    <xf numFmtId="0" fontId="2" fillId="3" borderId="0" xfId="0" applyFont="1" applyFill="1" applyAlignment="1">
      <alignment vertical="center"/>
    </xf>
    <xf numFmtId="0" fontId="0" fillId="3" borderId="0" xfId="0" applyFill="1" applyAlignment="1">
      <alignment vertical="center"/>
    </xf>
    <xf numFmtId="0" fontId="0" fillId="2" borderId="0" xfId="0" applyFill="1" applyAlignment="1">
      <alignment vertical="center"/>
    </xf>
    <xf numFmtId="0" fontId="3" fillId="3" borderId="0" xfId="0" applyFont="1" applyFill="1" applyAlignment="1">
      <alignment vertical="center"/>
    </xf>
    <xf numFmtId="0" fontId="4" fillId="3" borderId="0" xfId="0" applyFont="1" applyFill="1" applyAlignment="1">
      <alignment vertical="center" wrapText="1"/>
    </xf>
    <xf numFmtId="0" fontId="0" fillId="3" borderId="0" xfId="0" applyFill="1" applyAlignment="1">
      <alignment horizontal="center" vertical="center"/>
    </xf>
    <xf numFmtId="0" fontId="5" fillId="2" borderId="0" xfId="0" applyFont="1" applyFill="1" applyAlignment="1">
      <alignment vertical="center"/>
    </xf>
    <xf numFmtId="0" fontId="0" fillId="3" borderId="0" xfId="0" applyFill="1" applyAlignment="1">
      <alignment horizontal="right" vertical="center"/>
    </xf>
    <xf numFmtId="0" fontId="5" fillId="3" borderId="0" xfId="0" applyFont="1" applyFill="1" applyAlignment="1">
      <alignment vertical="center"/>
    </xf>
    <xf numFmtId="0" fontId="5" fillId="3" borderId="0" xfId="0" applyFont="1" applyFill="1" applyAlignment="1">
      <alignment horizontal="right" vertical="center"/>
    </xf>
    <xf numFmtId="0" fontId="6" fillId="3" borderId="0" xfId="0" applyFont="1" applyFill="1" applyAlignment="1">
      <alignment vertical="center" wrapText="1"/>
    </xf>
    <xf numFmtId="0" fontId="7" fillId="3" borderId="0" xfId="0" applyFont="1" applyFill="1" applyAlignment="1">
      <alignment vertical="center"/>
    </xf>
    <xf numFmtId="14" fontId="0" fillId="3" borderId="0" xfId="0" applyNumberFormat="1" applyFill="1" applyAlignment="1">
      <alignment vertical="center"/>
    </xf>
    <xf numFmtId="0" fontId="8" fillId="3" borderId="0" xfId="0" applyFont="1" applyFill="1" applyAlignment="1">
      <alignment vertical="center"/>
    </xf>
    <xf numFmtId="14" fontId="8" fillId="3" borderId="0" xfId="0" applyNumberFormat="1" applyFont="1" applyFill="1" applyAlignment="1">
      <alignment vertical="center"/>
    </xf>
    <xf numFmtId="2" fontId="0" fillId="4" borderId="1" xfId="0" applyNumberFormat="1" applyFill="1" applyBorder="1" applyAlignment="1">
      <alignment horizontal="center" vertical="center"/>
    </xf>
    <xf numFmtId="0" fontId="0" fillId="2" borderId="2" xfId="0" applyFill="1" applyBorder="1" applyAlignment="1">
      <alignment horizontal="center" vertical="center" wrapText="1"/>
    </xf>
    <xf numFmtId="1" fontId="0" fillId="2" borderId="3" xfId="0" applyNumberFormat="1" applyFill="1" applyBorder="1" applyAlignment="1" applyProtection="1">
      <alignment horizontal="center" vertical="center"/>
      <protection locked="0"/>
    </xf>
    <xf numFmtId="2" fontId="0" fillId="2" borderId="3" xfId="0" applyNumberFormat="1" applyFill="1" applyBorder="1" applyAlignment="1" applyProtection="1">
      <alignment horizontal="center" vertical="center"/>
      <protection locked="0"/>
    </xf>
    <xf numFmtId="2" fontId="0" fillId="5" borderId="4" xfId="0" applyNumberFormat="1" applyFill="1" applyBorder="1" applyAlignment="1">
      <alignment horizontal="center" vertical="center"/>
    </xf>
    <xf numFmtId="0" fontId="9" fillId="2" borderId="5" xfId="0" applyFont="1" applyFill="1" applyBorder="1" applyAlignment="1">
      <alignment horizontal="center" vertical="center"/>
    </xf>
    <xf numFmtId="0" fontId="0" fillId="2" borderId="5" xfId="0" applyFill="1" applyBorder="1" applyAlignment="1">
      <alignment horizontal="left" vertical="center"/>
    </xf>
    <xf numFmtId="2" fontId="0" fillId="2" borderId="5" xfId="0" applyNumberFormat="1" applyFill="1" applyBorder="1" applyAlignment="1">
      <alignment horizontal="center" vertical="center"/>
    </xf>
    <xf numFmtId="0" fontId="0" fillId="2" borderId="0" xfId="0" applyFill="1" applyAlignment="1" applyProtection="1">
      <alignment horizontal="left" vertical="top" wrapText="1"/>
      <protection locked="0"/>
    </xf>
    <xf numFmtId="0" fontId="0" fillId="2" borderId="6" xfId="0" applyFill="1" applyBorder="1" applyAlignment="1">
      <alignment horizontal="center" vertical="center" wrapText="1"/>
    </xf>
    <xf numFmtId="1" fontId="0" fillId="2" borderId="7" xfId="0" applyNumberFormat="1" applyFill="1" applyBorder="1" applyAlignment="1" applyProtection="1">
      <alignment horizontal="center" vertical="center"/>
      <protection locked="0"/>
    </xf>
    <xf numFmtId="2" fontId="0" fillId="2" borderId="7" xfId="0" applyNumberFormat="1" applyFill="1" applyBorder="1" applyAlignment="1" applyProtection="1">
      <alignment horizontal="center" vertical="center"/>
      <protection locked="0"/>
    </xf>
    <xf numFmtId="2" fontId="0" fillId="4" borderId="8" xfId="0" applyNumberFormat="1" applyFill="1" applyBorder="1" applyAlignment="1">
      <alignment horizontal="center" vertical="center"/>
    </xf>
    <xf numFmtId="2" fontId="0" fillId="5" borderId="9" xfId="0" applyNumberFormat="1" applyFill="1" applyBorder="1" applyAlignment="1">
      <alignment horizontal="center" vertical="center"/>
    </xf>
    <xf numFmtId="0" fontId="0" fillId="2" borderId="10" xfId="0" applyFill="1" applyBorder="1" applyAlignment="1">
      <alignment horizontal="left" vertical="center"/>
    </xf>
    <xf numFmtId="2" fontId="0" fillId="2" borderId="1" xfId="0" applyNumberFormat="1" applyFill="1" applyBorder="1" applyAlignment="1" applyProtection="1">
      <alignment horizontal="center" vertical="center"/>
      <protection locked="0"/>
    </xf>
    <xf numFmtId="1" fontId="0" fillId="2" borderId="0" xfId="0" applyNumberFormat="1" applyFill="1" applyAlignment="1">
      <alignment vertical="center"/>
    </xf>
    <xf numFmtId="10" fontId="0" fillId="2" borderId="0" xfId="0" applyNumberFormat="1" applyFill="1" applyAlignment="1">
      <alignment vertical="center"/>
    </xf>
    <xf numFmtId="0" fontId="0" fillId="2" borderId="0" xfId="0" applyFill="1" applyAlignment="1">
      <alignment horizontal="left" vertical="center"/>
    </xf>
    <xf numFmtId="0" fontId="0" fillId="2" borderId="0" xfId="0" applyFill="1" applyAlignment="1">
      <alignment horizontal="left" vertical="top"/>
    </xf>
    <xf numFmtId="0" fontId="0" fillId="2" borderId="0" xfId="0" applyFill="1" applyAlignment="1">
      <alignment horizontal="right" vertical="center"/>
    </xf>
    <xf numFmtId="2" fontId="0" fillId="2" borderId="0" xfId="0" applyNumberFormat="1" applyFill="1" applyAlignment="1">
      <alignment vertical="center"/>
    </xf>
    <xf numFmtId="2" fontId="0" fillId="2" borderId="0" xfId="0" applyNumberFormat="1" applyFill="1" applyAlignment="1">
      <alignment vertical="center"/>
    </xf>
    <xf numFmtId="1" fontId="0" fillId="2" borderId="0" xfId="0" applyNumberFormat="1" applyFill="1" applyAlignment="1">
      <alignment horizontal="right" vertical="center"/>
    </xf>
    <xf numFmtId="2" fontId="0" fillId="2" borderId="0" xfId="0" applyNumberFormat="1" applyFill="1" applyAlignment="1">
      <alignment horizontal="right" vertical="center"/>
    </xf>
    <xf numFmtId="0" fontId="0" fillId="2" borderId="1" xfId="0" applyFill="1" applyBorder="1" applyAlignment="1">
      <alignment horizontal="center" vertical="center"/>
    </xf>
    <xf numFmtId="2" fontId="0" fillId="6" borderId="3" xfId="0" applyNumberFormat="1" applyFill="1" applyBorder="1" applyAlignment="1" applyProtection="1">
      <alignment horizontal="center" vertical="center"/>
      <protection locked="0"/>
    </xf>
    <xf numFmtId="0" fontId="9" fillId="2" borderId="0" xfId="0" applyFont="1" applyFill="1" applyAlignment="1">
      <alignment horizontal="center" vertical="center"/>
    </xf>
    <xf numFmtId="1" fontId="0" fillId="5" borderId="3" xfId="0" applyNumberFormat="1" applyFill="1" applyBorder="1" applyAlignment="1" applyProtection="1">
      <alignment horizontal="center" vertical="center"/>
      <protection locked="0"/>
    </xf>
    <xf numFmtId="0" fontId="10" fillId="7" borderId="11"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0" fillId="7" borderId="14" xfId="0" applyFont="1" applyFill="1" applyBorder="1" applyAlignment="1">
      <alignment horizontal="center" vertical="center" wrapText="1"/>
    </xf>
    <xf numFmtId="10" fontId="0" fillId="6" borderId="15" xfId="0" applyNumberFormat="1" applyFill="1" applyBorder="1" applyAlignment="1">
      <alignment horizontal="center" vertical="center"/>
    </xf>
    <xf numFmtId="2" fontId="0" fillId="6" borderId="15" xfId="0" applyNumberFormat="1" applyFill="1" applyBorder="1" applyAlignment="1">
      <alignment horizontal="center" vertical="center"/>
    </xf>
    <xf numFmtId="164" fontId="0" fillId="6" borderId="15" xfId="0" applyNumberFormat="1" applyFill="1" applyBorder="1" applyAlignment="1">
      <alignment horizontal="center" vertical="center"/>
    </xf>
    <xf numFmtId="0" fontId="0" fillId="2" borderId="0" xfId="0" applyFill="1" applyAlignment="1">
      <alignment vertical="top"/>
    </xf>
    <xf numFmtId="1" fontId="0" fillId="5" borderId="15" xfId="0" applyNumberFormat="1" applyFill="1" applyBorder="1" applyAlignment="1">
      <alignment horizontal="center" vertical="center"/>
    </xf>
    <xf numFmtId="165" fontId="0" fillId="6" borderId="15" xfId="0" applyNumberFormat="1" applyFill="1" applyBorder="1" applyAlignment="1">
      <alignment horizontal="center" vertical="center"/>
    </xf>
    <xf numFmtId="0" fontId="0" fillId="5" borderId="15" xfId="0" applyFill="1" applyBorder="1" applyAlignment="1">
      <alignment horizontal="center" vertical="center"/>
    </xf>
    <xf numFmtId="2" fontId="0" fillId="6" borderId="15" xfId="0" applyNumberFormat="1" applyFill="1" applyBorder="1" applyAlignment="1">
      <alignment horizontal="center" vertical="center"/>
    </xf>
    <xf numFmtId="0" fontId="0" fillId="2" borderId="2" xfId="0" applyFill="1" applyBorder="1" applyAlignment="1">
      <alignment vertical="center" wrapText="1"/>
    </xf>
    <xf numFmtId="0" fontId="0" fillId="2" borderId="2" xfId="0" applyFill="1" applyBorder="1" applyAlignment="1">
      <alignment vertical="top" wrapText="1"/>
    </xf>
    <xf numFmtId="0" fontId="0" fillId="2" borderId="5" xfId="0" applyFill="1" applyBorder="1" applyAlignment="1">
      <alignment horizontal="left" vertical="center"/>
    </xf>
    <xf numFmtId="0" fontId="0" fillId="2" borderId="0" xfId="0" applyFill="1" applyAlignment="1">
      <alignment wrapText="1"/>
    </xf>
    <xf numFmtId="0" fontId="0" fillId="2" borderId="2" xfId="0" applyFill="1" applyBorder="1" applyAlignment="1">
      <alignment wrapText="1"/>
    </xf>
    <xf numFmtId="0" fontId="0" fillId="2" borderId="0" xfId="0" applyFill="1" applyAlignment="1">
      <alignment vertical="center" wrapText="1"/>
    </xf>
    <xf numFmtId="0" fontId="0" fillId="8" borderId="2" xfId="0" applyFill="1" applyBorder="1" applyAlignment="1">
      <alignment vertical="top" wrapText="1"/>
    </xf>
    <xf numFmtId="0" fontId="0" fillId="2" borderId="10" xfId="0" applyFill="1" applyBorder="1" applyAlignment="1">
      <alignment horizontal="left" vertical="center"/>
    </xf>
    <xf numFmtId="0" fontId="0" fillId="2" borderId="0" xfId="0" applyFill="1" applyAlignment="1">
      <alignment horizontal="left" vertical="center"/>
    </xf>
    <xf numFmtId="0" fontId="0" fillId="8" borderId="2" xfId="0" applyFill="1" applyBorder="1" applyAlignment="1">
      <alignment wrapText="1"/>
    </xf>
    <xf numFmtId="0" fontId="0" fillId="2" borderId="16" xfId="0" applyFill="1" applyBorder="1" applyAlignment="1">
      <alignment horizontal="left" vertical="center"/>
    </xf>
    <xf numFmtId="0" fontId="0" fillId="2" borderId="16" xfId="0" applyFill="1" applyBorder="1" applyAlignment="1">
      <alignment horizontal="right" vertical="center"/>
    </xf>
    <xf numFmtId="0" fontId="0" fillId="2" borderId="0" xfId="0" applyFill="1" applyAlignment="1">
      <alignment vertical="center"/>
    </xf>
    <xf numFmtId="2" fontId="0" fillId="5" borderId="3" xfId="0" applyNumberFormat="1" applyFill="1" applyBorder="1" applyAlignment="1" applyProtection="1">
      <alignment horizontal="center" vertical="center"/>
      <protection locked="0"/>
    </xf>
    <xf numFmtId="164" fontId="0" fillId="5" borderId="15" xfId="0" applyNumberFormat="1" applyFill="1" applyBorder="1" applyAlignment="1">
      <alignment horizontal="center" vertical="center"/>
    </xf>
    <xf numFmtId="0" fontId="0" fillId="9" borderId="17" xfId="0" applyFill="1" applyBorder="1" applyAlignment="1">
      <alignment horizontal="left" vertical="center" wrapText="1"/>
    </xf>
    <xf numFmtId="0" fontId="0" fillId="9" borderId="18" xfId="0" applyFill="1" applyBorder="1" applyAlignment="1">
      <alignment horizontal="left" vertical="center"/>
    </xf>
    <xf numFmtId="164" fontId="0" fillId="10" borderId="15" xfId="0" applyNumberFormat="1" applyFill="1" applyBorder="1" applyAlignment="1">
      <alignment horizontal="center"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0" xfId="0" applyFont="1" applyFill="1" applyAlignment="1">
      <alignment vertical="center"/>
    </xf>
    <xf numFmtId="0" fontId="5" fillId="8" borderId="0" xfId="0" applyFont="1" applyFill="1" applyAlignment="1">
      <alignment horizontal="center" vertical="center"/>
    </xf>
    <xf numFmtId="2" fontId="0" fillId="2" borderId="19" xfId="0" applyNumberFormat="1" applyFill="1" applyBorder="1" applyAlignment="1">
      <alignment horizontal="center" vertical="center"/>
    </xf>
    <xf numFmtId="1" fontId="0" fillId="5" borderId="3" xfId="0" applyNumberFormat="1" applyFill="1" applyBorder="1" applyAlignment="1">
      <alignment horizontal="center" vertical="center"/>
    </xf>
    <xf numFmtId="0" fontId="0" fillId="2" borderId="0" xfId="0" applyFill="1" applyAlignment="1">
      <alignment horizontal="right" vertical="center"/>
    </xf>
    <xf numFmtId="0" fontId="14" fillId="2" borderId="0" xfId="0" applyFont="1" applyFill="1" applyAlignment="1">
      <alignment vertical="center" wrapText="1"/>
    </xf>
    <xf numFmtId="0" fontId="0" fillId="2" borderId="20" xfId="0" applyFill="1" applyBorder="1" applyAlignment="1">
      <alignment horizontal="left" vertical="center" wrapText="1"/>
    </xf>
    <xf numFmtId="2" fontId="0" fillId="2" borderId="15" xfId="0" applyNumberFormat="1" applyFill="1" applyBorder="1" applyAlignment="1" applyProtection="1">
      <alignment horizontal="center" vertical="center"/>
      <protection locked="0"/>
    </xf>
    <xf numFmtId="0" fontId="0" fillId="2" borderId="21" xfId="0" applyFill="1" applyBorder="1" applyAlignment="1">
      <alignment horizontal="center" vertical="center" wrapText="1"/>
    </xf>
    <xf numFmtId="0" fontId="0" fillId="8" borderId="22" xfId="0" applyFill="1" applyBorder="1" applyAlignment="1">
      <alignment vertical="top" wrapText="1"/>
    </xf>
    <xf numFmtId="2" fontId="0" fillId="2" borderId="23" xfId="0" applyNumberFormat="1" applyFill="1" applyBorder="1" applyAlignment="1" applyProtection="1">
      <alignment horizontal="center" vertical="center"/>
      <protection locked="0"/>
    </xf>
    <xf numFmtId="2" fontId="0" fillId="4" borderId="3" xfId="0" applyNumberFormat="1" applyFill="1" applyBorder="1" applyAlignment="1">
      <alignment horizontal="center" vertical="center"/>
    </xf>
    <xf numFmtId="2" fontId="15" fillId="11" borderId="15" xfId="0" applyNumberFormat="1" applyFont="1" applyFill="1" applyBorder="1" applyAlignment="1" applyProtection="1">
      <alignment horizontal="center" vertical="center"/>
      <protection locked="0"/>
    </xf>
    <xf numFmtId="1" fontId="15" fillId="11" borderId="15" xfId="0" applyNumberFormat="1" applyFont="1" applyFill="1" applyBorder="1" applyAlignment="1">
      <alignment horizontal="center" vertical="center"/>
    </xf>
    <xf numFmtId="2" fontId="15" fillId="11" borderId="15" xfId="0" applyNumberFormat="1" applyFont="1" applyFill="1" applyBorder="1" applyAlignment="1">
      <alignment horizontal="center" vertical="center"/>
    </xf>
    <xf numFmtId="2" fontId="15" fillId="11" borderId="4" xfId="0" applyNumberFormat="1" applyFont="1" applyFill="1" applyBorder="1" applyAlignment="1">
      <alignment horizontal="center" vertical="center"/>
    </xf>
    <xf numFmtId="2" fontId="0" fillId="4" borderId="15" xfId="0" applyNumberFormat="1" applyFill="1" applyBorder="1" applyAlignment="1" applyProtection="1">
      <alignment horizontal="center" vertical="center"/>
      <protection locked="0"/>
    </xf>
    <xf numFmtId="2" fontId="0" fillId="6" borderId="15" xfId="0" applyNumberFormat="1" applyFill="1" applyBorder="1" applyAlignment="1">
      <alignment horizontal="center" vertical="center"/>
    </xf>
    <xf numFmtId="2" fontId="15" fillId="11" borderId="1" xfId="0" applyNumberFormat="1" applyFont="1" applyFill="1" applyBorder="1" applyAlignment="1" applyProtection="1">
      <alignment horizontal="center" vertical="center"/>
      <protection locked="0"/>
    </xf>
    <xf numFmtId="2" fontId="0" fillId="2" borderId="1" xfId="0" applyNumberFormat="1" applyFill="1" applyBorder="1" applyAlignment="1" applyProtection="1">
      <alignment horizontal="center" vertical="center"/>
      <protection locked="0"/>
    </xf>
    <xf numFmtId="2" fontId="0" fillId="5" borderId="8" xfId="0" applyNumberFormat="1" applyFill="1" applyBorder="1" applyAlignment="1">
      <alignment horizontal="center" vertical="center"/>
    </xf>
    <xf numFmtId="2" fontId="0" fillId="11" borderId="7" xfId="0" applyNumberFormat="1" applyFill="1" applyBorder="1" applyAlignment="1" applyProtection="1">
      <alignment horizontal="center" vertical="center"/>
      <protection locked="0"/>
    </xf>
    <xf numFmtId="0" fontId="0" fillId="11" borderId="6" xfId="0" applyFill="1" applyBorder="1" applyAlignment="1">
      <alignment horizontal="center" vertical="center" wrapText="1"/>
    </xf>
    <xf numFmtId="0" fontId="0" fillId="11" borderId="2" xfId="0" applyFill="1" applyBorder="1" applyAlignment="1">
      <alignment vertical="top" wrapText="1"/>
    </xf>
    <xf numFmtId="1" fontId="0" fillId="11" borderId="7" xfId="0" applyNumberFormat="1" applyFill="1" applyBorder="1" applyAlignment="1" applyProtection="1">
      <alignment horizontal="center" vertical="center"/>
      <protection locked="0"/>
    </xf>
    <xf numFmtId="9" fontId="0" fillId="6" borderId="15" xfId="0" applyNumberFormat="1" applyFill="1" applyBorder="1" applyAlignment="1">
      <alignment horizontal="center" vertical="center"/>
    </xf>
    <xf numFmtId="2" fontId="0" fillId="11" borderId="8" xfId="0" applyNumberFormat="1" applyFill="1" applyBorder="1" applyAlignment="1">
      <alignment horizontal="center" vertical="center"/>
    </xf>
    <xf numFmtId="0" fontId="0" fillId="11" borderId="22" xfId="0" applyFill="1" applyBorder="1" applyAlignment="1">
      <alignment vertical="top" wrapText="1"/>
    </xf>
    <xf numFmtId="1" fontId="0" fillId="11" borderId="23" xfId="0" applyNumberFormat="1" applyFill="1" applyBorder="1" applyAlignment="1" applyProtection="1">
      <alignment horizontal="center" vertical="center"/>
      <protection locked="0"/>
    </xf>
    <xf numFmtId="0" fontId="0" fillId="11" borderId="2" xfId="0" applyFill="1" applyBorder="1" applyAlignment="1">
      <alignment vertical="center" wrapText="1"/>
    </xf>
    <xf numFmtId="1" fontId="0" fillId="11" borderId="3" xfId="0" applyNumberFormat="1" applyFill="1" applyBorder="1" applyAlignment="1" applyProtection="1">
      <alignment vertical="center"/>
      <protection locked="0"/>
    </xf>
    <xf numFmtId="2" fontId="0" fillId="5" borderId="15" xfId="0" applyNumberFormat="1" applyFill="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vertical="center"/>
    </xf>
    <xf numFmtId="0" fontId="0" fillId="11" borderId="1" xfId="0" applyFill="1" applyBorder="1" applyAlignment="1">
      <alignment horizontal="center" vertical="center"/>
    </xf>
    <xf numFmtId="1" fontId="0" fillId="11" borderId="15" xfId="0" applyNumberFormat="1" applyFill="1" applyBorder="1" applyAlignment="1">
      <alignment horizontal="center" vertical="center"/>
    </xf>
    <xf numFmtId="2" fontId="0" fillId="11" borderId="4" xfId="0" applyNumberFormat="1" applyFill="1" applyBorder="1" applyAlignment="1">
      <alignment horizontal="center" vertical="center"/>
    </xf>
    <xf numFmtId="164" fontId="0" fillId="6" borderId="3" xfId="0" applyNumberFormat="1" applyFill="1" applyBorder="1" applyAlignment="1" applyProtection="1">
      <alignment horizontal="center" vertical="center"/>
      <protection locked="0"/>
    </xf>
    <xf numFmtId="0" fontId="0" fillId="2" borderId="6" xfId="0" applyFill="1" applyBorder="1" applyAlignment="1">
      <alignment vertical="center" wrapText="1"/>
    </xf>
    <xf numFmtId="165" fontId="15" fillId="11" borderId="2" xfId="0" applyNumberFormat="1" applyFont="1" applyFill="1" applyBorder="1" applyAlignment="1">
      <alignment horizontal="left" vertical="center"/>
    </xf>
    <xf numFmtId="2" fontId="15" fillId="11" borderId="3" xfId="0" applyNumberFormat="1" applyFont="1" applyFill="1" applyBorder="1" applyAlignment="1">
      <alignment horizontal="center" vertical="center"/>
    </xf>
    <xf numFmtId="10" fontId="15" fillId="11" borderId="2" xfId="0" applyNumberFormat="1" applyFont="1" applyFill="1" applyBorder="1" applyAlignment="1">
      <alignment horizontal="left" vertical="center"/>
    </xf>
    <xf numFmtId="0" fontId="15" fillId="11" borderId="21" xfId="0" applyFont="1" applyFill="1" applyBorder="1" applyAlignment="1">
      <alignment horizontal="left" vertical="center" wrapText="1"/>
    </xf>
    <xf numFmtId="0" fontId="15" fillId="11" borderId="24" xfId="0" applyFont="1" applyFill="1" applyBorder="1" applyAlignment="1">
      <alignment horizontal="left" vertical="center" wrapText="1"/>
    </xf>
    <xf numFmtId="0" fontId="15" fillId="11" borderId="3" xfId="0" applyFont="1" applyFill="1" applyBorder="1" applyAlignment="1">
      <alignment horizontal="center" vertical="center"/>
    </xf>
    <xf numFmtId="2" fontId="15" fillId="11" borderId="2" xfId="0" applyNumberFormat="1" applyFont="1" applyFill="1" applyBorder="1" applyAlignment="1">
      <alignment horizontal="left" vertical="center"/>
    </xf>
    <xf numFmtId="0" fontId="15" fillId="11" borderId="25" xfId="0" applyFont="1" applyFill="1" applyBorder="1" applyAlignment="1">
      <alignment horizontal="left" vertical="center" wrapText="1"/>
    </xf>
    <xf numFmtId="0" fontId="15" fillId="11" borderId="20" xfId="0" applyFont="1" applyFill="1" applyBorder="1" applyAlignment="1">
      <alignment horizontal="left" vertical="center" wrapText="1"/>
    </xf>
    <xf numFmtId="2" fontId="15" fillId="11" borderId="26" xfId="0" applyNumberFormat="1" applyFont="1" applyFill="1" applyBorder="1" applyAlignment="1">
      <alignment horizontal="center" vertical="center"/>
    </xf>
    <xf numFmtId="164" fontId="15" fillId="11" borderId="2" xfId="0" applyNumberFormat="1" applyFont="1" applyFill="1" applyBorder="1" applyAlignment="1">
      <alignment horizontal="left" vertical="center"/>
    </xf>
    <xf numFmtId="165" fontId="0" fillId="5" borderId="8" xfId="0" applyNumberFormat="1" applyFill="1" applyBorder="1" applyAlignment="1">
      <alignment horizontal="center" vertical="center"/>
    </xf>
    <xf numFmtId="1" fontId="15" fillId="11" borderId="2" xfId="0" applyNumberFormat="1" applyFont="1" applyFill="1" applyBorder="1" applyAlignment="1">
      <alignment horizontal="left" vertical="center"/>
    </xf>
    <xf numFmtId="165" fontId="15" fillId="11" borderId="16" xfId="0" applyNumberFormat="1" applyFont="1" applyFill="1" applyBorder="1" applyAlignment="1">
      <alignment horizontal="left" vertical="center"/>
    </xf>
    <xf numFmtId="2" fontId="0" fillId="2" borderId="8" xfId="0" applyNumberFormat="1" applyFill="1" applyBorder="1" applyAlignment="1" applyProtection="1">
      <alignment horizontal="center" vertical="center"/>
      <protection locked="0"/>
    </xf>
    <xf numFmtId="0" fontId="0" fillId="9" borderId="27" xfId="0" applyFill="1" applyBorder="1" applyAlignment="1">
      <alignment horizontal="left" vertical="center"/>
    </xf>
    <xf numFmtId="0" fontId="0" fillId="9" borderId="16" xfId="0" applyFill="1" applyBorder="1" applyAlignment="1">
      <alignment horizontal="left" vertical="center" wrapText="1"/>
    </xf>
    <xf numFmtId="1" fontId="0" fillId="10" borderId="3" xfId="0" applyNumberFormat="1" applyFill="1" applyBorder="1" applyAlignment="1">
      <alignment horizontal="center" vertical="center"/>
    </xf>
    <xf numFmtId="164" fontId="0" fillId="10" borderId="9" xfId="0" applyNumberFormat="1" applyFill="1" applyBorder="1" applyAlignment="1">
      <alignment horizontal="center" vertical="center"/>
    </xf>
    <xf numFmtId="0" fontId="0" fillId="2" borderId="0" xfId="0" applyFill="1" applyAlignment="1">
      <alignment horizontal="center" vertical="center"/>
    </xf>
    <xf numFmtId="0" fontId="0" fillId="2" borderId="25" xfId="0" applyFill="1" applyBorder="1" applyAlignment="1">
      <alignment horizontal="left" vertical="center" wrapText="1"/>
    </xf>
    <xf numFmtId="0" fontId="15" fillId="11" borderId="6" xfId="0" applyFont="1" applyFill="1" applyBorder="1" applyAlignment="1">
      <alignment horizontal="left" vertical="center" wrapText="1"/>
    </xf>
    <xf numFmtId="0" fontId="15" fillId="11" borderId="16" xfId="0" applyFont="1" applyFill="1" applyBorder="1" applyAlignment="1">
      <alignment horizontal="left" vertical="center" wrapText="1"/>
    </xf>
    <xf numFmtId="0" fontId="15" fillId="11" borderId="2" xfId="0" applyFont="1" applyFill="1" applyBorder="1" applyAlignment="1">
      <alignment horizontal="left" vertical="center" wrapText="1"/>
    </xf>
    <xf numFmtId="9" fontId="15" fillId="11" borderId="16" xfId="0" applyNumberFormat="1" applyFont="1" applyFill="1" applyBorder="1" applyAlignment="1">
      <alignment horizontal="left" vertical="center"/>
    </xf>
    <xf numFmtId="9" fontId="15" fillId="11" borderId="2" xfId="0" applyNumberFormat="1" applyFont="1" applyFill="1" applyBorder="1" applyAlignment="1">
      <alignment horizontal="left" vertical="center"/>
    </xf>
    <xf numFmtId="1" fontId="0" fillId="5" borderId="8" xfId="0" applyNumberFormat="1" applyFill="1" applyBorder="1" applyAlignment="1">
      <alignment horizontal="center" vertical="center"/>
    </xf>
    <xf numFmtId="0" fontId="15" fillId="11" borderId="26" xfId="0" applyFont="1" applyFill="1" applyBorder="1" applyAlignment="1">
      <alignment horizontal="center" vertical="center"/>
    </xf>
    <xf numFmtId="2" fontId="0" fillId="6" borderId="3" xfId="0" applyNumberFormat="1" applyFill="1" applyBorder="1" applyAlignment="1">
      <alignment horizontal="center" vertical="center"/>
    </xf>
    <xf numFmtId="164" fontId="15" fillId="11" borderId="15" xfId="0" applyNumberFormat="1" applyFont="1" applyFill="1" applyBorder="1" applyAlignment="1">
      <alignment horizontal="center" vertical="center"/>
    </xf>
    <xf numFmtId="9" fontId="15" fillId="11" borderId="16" xfId="0" applyNumberFormat="1" applyFont="1" applyFill="1" applyBorder="1" applyAlignment="1">
      <alignment horizontal="left" vertical="center" wrapText="1"/>
    </xf>
    <xf numFmtId="1" fontId="0" fillId="11" borderId="3" xfId="0" applyNumberFormat="1" applyFill="1" applyBorder="1" applyAlignment="1">
      <alignment horizontal="center" vertical="center"/>
    </xf>
    <xf numFmtId="1" fontId="15" fillId="11" borderId="3" xfId="0" applyNumberFormat="1" applyFont="1" applyFill="1" applyBorder="1" applyAlignment="1">
      <alignment horizontal="center" vertical="center"/>
    </xf>
    <xf numFmtId="164" fontId="15" fillId="11" borderId="19" xfId="0" applyNumberFormat="1" applyFont="1" applyFill="1" applyBorder="1" applyAlignment="1">
      <alignment horizontal="center" vertical="center"/>
    </xf>
    <xf numFmtId="9" fontId="15" fillId="11" borderId="24" xfId="0" applyNumberFormat="1" applyFont="1" applyFill="1" applyBorder="1" applyAlignment="1">
      <alignment horizontal="left" vertical="center" wrapText="1"/>
    </xf>
    <xf numFmtId="0" fontId="15" fillId="11" borderId="2" xfId="0" applyFont="1" applyFill="1" applyBorder="1" applyAlignment="1">
      <alignment vertical="center"/>
    </xf>
    <xf numFmtId="9" fontId="15" fillId="11" borderId="2" xfId="0" applyNumberFormat="1" applyFont="1" applyFill="1" applyBorder="1" applyAlignment="1">
      <alignment horizontal="left" vertical="center" wrapText="1"/>
    </xf>
    <xf numFmtId="2" fontId="15" fillId="11" borderId="2" xfId="0" applyNumberFormat="1" applyFont="1" applyFill="1" applyBorder="1" applyAlignment="1">
      <alignment horizontal="left" vertical="center" wrapText="1"/>
    </xf>
    <xf numFmtId="43" fontId="15" fillId="11" borderId="19" xfId="0" applyNumberFormat="1" applyFont="1" applyFill="1" applyBorder="1" applyAlignment="1">
      <alignment horizontal="center" vertical="center"/>
    </xf>
    <xf numFmtId="165" fontId="0" fillId="6" borderId="15" xfId="0" applyNumberFormat="1" applyFill="1" applyBorder="1" applyAlignment="1">
      <alignment horizontal="right" vertical="center"/>
    </xf>
    <xf numFmtId="166" fontId="0" fillId="5" borderId="15" xfId="0" applyNumberFormat="1" applyFill="1" applyBorder="1" applyAlignment="1">
      <alignment horizontal="right" vertical="center"/>
    </xf>
    <xf numFmtId="0" fontId="0" fillId="11" borderId="2" xfId="0" applyFill="1" applyBorder="1" applyAlignment="1">
      <alignment horizontal="left" vertical="center" wrapText="1"/>
    </xf>
    <xf numFmtId="43" fontId="15" fillId="11" borderId="3" xfId="0" applyNumberFormat="1" applyFont="1" applyFill="1" applyBorder="1" applyAlignment="1">
      <alignment horizontal="center" vertical="center"/>
    </xf>
    <xf numFmtId="0" fontId="0" fillId="2" borderId="24" xfId="0" applyFill="1" applyBorder="1" applyAlignment="1">
      <alignment horizontal="left" vertical="top" wrapText="1"/>
    </xf>
    <xf numFmtId="2" fontId="0" fillId="6" borderId="26" xfId="0" applyNumberFormat="1" applyFill="1" applyBorder="1" applyAlignment="1" applyProtection="1">
      <alignment horizontal="center" vertical="center"/>
      <protection locked="0"/>
    </xf>
    <xf numFmtId="0" fontId="0" fillId="2" borderId="21" xfId="0" applyFill="1" applyBorder="1" applyAlignment="1">
      <alignment horizontal="left" vertical="center"/>
    </xf>
    <xf numFmtId="0" fontId="15" fillId="11" borderId="21" xfId="0" applyFont="1" applyFill="1" applyBorder="1" applyAlignment="1">
      <alignment horizontal="left" vertical="top"/>
    </xf>
    <xf numFmtId="2" fontId="15" fillId="11" borderId="26" xfId="0" applyNumberFormat="1" applyFont="1" applyFill="1" applyBorder="1" applyAlignment="1" applyProtection="1">
      <alignment horizontal="center" vertical="center"/>
      <protection locked="0"/>
    </xf>
    <xf numFmtId="2" fontId="15" fillId="11" borderId="24" xfId="0" applyNumberFormat="1" applyFont="1" applyFill="1" applyBorder="1" applyAlignment="1">
      <alignment horizontal="left" vertical="top"/>
    </xf>
    <xf numFmtId="0" fontId="15" fillId="11" borderId="2" xfId="0" applyFont="1" applyFill="1" applyBorder="1" applyAlignment="1">
      <alignment horizontal="left" vertical="center" wrapText="1"/>
    </xf>
    <xf numFmtId="0" fontId="5" fillId="8" borderId="0" xfId="0" applyFont="1" applyFill="1" applyAlignment="1">
      <alignment vertical="center"/>
    </xf>
    <xf numFmtId="0" fontId="5" fillId="3" borderId="0" xfId="0" quotePrefix="1" applyFont="1" applyFill="1" applyAlignment="1">
      <alignment horizontal="center" vertical="center"/>
    </xf>
    <xf numFmtId="0" fontId="16" fillId="2" borderId="0" xfId="0" applyFont="1" applyFill="1" applyAlignment="1">
      <alignment horizontal="center" vertical="center"/>
    </xf>
    <xf numFmtId="0" fontId="16" fillId="12" borderId="0" xfId="0" applyFont="1" applyFill="1" applyAlignment="1">
      <alignment vertical="center"/>
    </xf>
    <xf numFmtId="0" fontId="0" fillId="2" borderId="0" xfId="0" applyFill="1" applyAlignment="1">
      <alignment horizontal="left" vertical="center"/>
    </xf>
    <xf numFmtId="0" fontId="17" fillId="2" borderId="0" xfId="0" applyFont="1" applyFill="1" applyAlignment="1">
      <alignment horizontal="center" vertical="center"/>
    </xf>
    <xf numFmtId="0" fontId="17" fillId="2" borderId="0" xfId="0" applyFont="1" applyFill="1" applyAlignment="1">
      <alignment horizontal="center" vertical="center"/>
    </xf>
    <xf numFmtId="0" fontId="0" fillId="11" borderId="6" xfId="0" applyFill="1" applyBorder="1" applyAlignment="1">
      <alignment horizontal="center" vertical="center"/>
    </xf>
    <xf numFmtId="0" fontId="0" fillId="11" borderId="2" xfId="0" applyFill="1" applyBorder="1" applyAlignment="1">
      <alignment vertical="top"/>
    </xf>
    <xf numFmtId="0" fontId="0" fillId="2" borderId="6" xfId="0" applyFill="1" applyBorder="1" applyAlignment="1">
      <alignment horizontal="center" vertical="center"/>
    </xf>
    <xf numFmtId="2" fontId="0" fillId="5" borderId="26" xfId="0" applyNumberFormat="1" applyFill="1" applyBorder="1" applyAlignment="1">
      <alignment horizontal="center" vertical="center"/>
    </xf>
    <xf numFmtId="0" fontId="17" fillId="2" borderId="7" xfId="0" applyFont="1" applyFill="1" applyBorder="1" applyAlignment="1">
      <alignment vertical="center" wrapText="1"/>
    </xf>
    <xf numFmtId="2" fontId="0" fillId="2" borderId="19" xfId="0" applyNumberFormat="1" applyFill="1" applyBorder="1" applyAlignment="1" applyProtection="1">
      <alignment horizontal="center" vertical="center"/>
      <protection locked="0"/>
    </xf>
    <xf numFmtId="2" fontId="0" fillId="5" borderId="28" xfId="0" applyNumberFormat="1" applyFill="1" applyBorder="1" applyAlignment="1">
      <alignment horizontal="center" vertical="center"/>
    </xf>
    <xf numFmtId="2" fontId="0" fillId="11" borderId="15" xfId="0" applyNumberFormat="1" applyFill="1" applyBorder="1" applyAlignment="1">
      <alignment horizontal="center" vertical="center"/>
    </xf>
    <xf numFmtId="2" fontId="0" fillId="2" borderId="7" xfId="0" applyNumberFormat="1" applyFill="1" applyBorder="1" applyAlignment="1" applyProtection="1">
      <alignment horizontal="center" vertical="center"/>
      <protection locked="0"/>
    </xf>
    <xf numFmtId="2" fontId="0" fillId="5" borderId="26" xfId="0" applyNumberFormat="1" applyFill="1" applyBorder="1" applyAlignment="1">
      <alignment horizontal="center" vertical="center"/>
    </xf>
    <xf numFmtId="164" fontId="0" fillId="6" borderId="15" xfId="0" applyNumberFormat="1" applyFill="1" applyBorder="1" applyAlignment="1">
      <alignment horizontal="center" vertical="center"/>
    </xf>
    <xf numFmtId="2" fontId="0" fillId="11" borderId="1" xfId="0" applyNumberFormat="1" applyFill="1" applyBorder="1" applyAlignment="1" applyProtection="1">
      <alignment horizontal="center" vertical="center"/>
      <protection locked="0"/>
    </xf>
    <xf numFmtId="164" fontId="0" fillId="11" borderId="15" xfId="0" applyNumberFormat="1" applyFill="1" applyBorder="1" applyAlignment="1">
      <alignment horizontal="center" vertical="center"/>
    </xf>
    <xf numFmtId="2" fontId="0" fillId="5" borderId="3" xfId="0" applyNumberFormat="1" applyFill="1" applyBorder="1" applyAlignment="1">
      <alignment horizontal="center" vertical="center"/>
    </xf>
    <xf numFmtId="2" fontId="0" fillId="5" borderId="4" xfId="0" applyNumberFormat="1" applyFill="1" applyBorder="1" applyAlignment="1">
      <alignment horizontal="center" vertical="center"/>
    </xf>
    <xf numFmtId="2" fontId="15" fillId="11" borderId="19" xfId="0" applyNumberFormat="1" applyFont="1" applyFill="1" applyBorder="1" applyAlignment="1">
      <alignment horizontal="center" vertical="center"/>
    </xf>
    <xf numFmtId="2" fontId="0" fillId="11" borderId="1" xfId="0" applyNumberFormat="1" applyFill="1" applyBorder="1" applyAlignment="1" applyProtection="1">
      <alignment horizontal="center" vertical="center"/>
      <protection locked="0"/>
    </xf>
    <xf numFmtId="1" fontId="0" fillId="11" borderId="15" xfId="0" applyNumberFormat="1" applyFill="1" applyBorder="1" applyAlignment="1">
      <alignment horizontal="center" vertical="center"/>
    </xf>
    <xf numFmtId="0" fontId="15" fillId="11" borderId="6" xfId="0" applyFont="1" applyFill="1" applyBorder="1" applyAlignment="1">
      <alignment horizontal="right" vertical="center" wrapText="1"/>
    </xf>
    <xf numFmtId="9" fontId="15" fillId="11" borderId="16" xfId="0" applyNumberFormat="1" applyFont="1" applyFill="1" applyBorder="1" applyAlignment="1">
      <alignment horizontal="left" vertical="center" wrapText="1"/>
    </xf>
    <xf numFmtId="0" fontId="0" fillId="2" borderId="1" xfId="0" applyFill="1" applyBorder="1" applyAlignment="1">
      <alignment horizontal="center" vertical="center"/>
    </xf>
    <xf numFmtId="0" fontId="0" fillId="2" borderId="6" xfId="0" applyFill="1" applyBorder="1" applyAlignment="1">
      <alignment horizontal="left" vertical="top"/>
    </xf>
    <xf numFmtId="0" fontId="0" fillId="2" borderId="16" xfId="0" applyFill="1" applyBorder="1" applyAlignment="1">
      <alignment horizontal="left" vertical="top"/>
    </xf>
    <xf numFmtId="0" fontId="0" fillId="11" borderId="21" xfId="0" applyFill="1" applyBorder="1" applyAlignment="1">
      <alignment horizontal="left" vertical="center" wrapText="1"/>
    </xf>
    <xf numFmtId="0" fontId="0" fillId="11" borderId="24" xfId="0" applyFill="1" applyBorder="1" applyAlignment="1">
      <alignment horizontal="left" vertical="center" wrapText="1"/>
    </xf>
    <xf numFmtId="9" fontId="15" fillId="11" borderId="2" xfId="0" applyNumberFormat="1" applyFont="1" applyFill="1" applyBorder="1" applyAlignment="1">
      <alignment horizontal="left" vertical="center"/>
    </xf>
    <xf numFmtId="1" fontId="15" fillId="11" borderId="19" xfId="0" applyNumberFormat="1" applyFont="1" applyFill="1" applyBorder="1" applyAlignment="1">
      <alignment horizontal="center" vertical="center"/>
    </xf>
    <xf numFmtId="1" fontId="0" fillId="11" borderId="19" xfId="0" applyNumberFormat="1" applyFill="1" applyBorder="1" applyAlignment="1">
      <alignment horizontal="center" vertical="center"/>
    </xf>
    <xf numFmtId="2" fontId="0" fillId="11" borderId="4" xfId="0" applyNumberFormat="1" applyFill="1" applyBorder="1" applyAlignment="1">
      <alignment horizontal="center" vertical="center"/>
    </xf>
    <xf numFmtId="0" fontId="0" fillId="8" borderId="6" xfId="0" applyFill="1" applyBorder="1" applyAlignment="1">
      <alignment horizontal="center" vertical="center" wrapText="1"/>
    </xf>
    <xf numFmtId="0" fontId="0" fillId="8" borderId="2" xfId="0" applyFill="1" applyBorder="1" applyAlignment="1">
      <alignment vertical="top" wrapText="1"/>
    </xf>
    <xf numFmtId="1" fontId="0" fillId="8" borderId="7" xfId="0" applyNumberFormat="1" applyFill="1" applyBorder="1" applyAlignment="1" applyProtection="1">
      <alignment horizontal="center" vertical="center"/>
      <protection locked="0"/>
    </xf>
    <xf numFmtId="0" fontId="0" fillId="4" borderId="29" xfId="0" applyFill="1" applyBorder="1" applyAlignment="1" applyProtection="1">
      <alignment horizontal="left" vertical="top" wrapText="1"/>
      <protection locked="0"/>
    </xf>
    <xf numFmtId="0" fontId="15" fillId="11" borderId="2" xfId="0" applyFont="1" applyFill="1" applyBorder="1" applyAlignment="1">
      <alignment horizontal="left" vertical="center" wrapText="1"/>
    </xf>
    <xf numFmtId="1" fontId="15" fillId="11" borderId="2" xfId="0" applyNumberFormat="1" applyFont="1" applyFill="1" applyBorder="1" applyAlignment="1">
      <alignment horizontal="left" vertical="center"/>
    </xf>
    <xf numFmtId="2" fontId="0" fillId="11" borderId="3" xfId="0" applyNumberFormat="1" applyFill="1" applyBorder="1" applyAlignment="1">
      <alignment horizontal="center" vertical="center"/>
    </xf>
    <xf numFmtId="2" fontId="0" fillId="5" borderId="30" xfId="0" applyNumberFormat="1" applyFill="1" applyBorder="1" applyAlignment="1">
      <alignment horizontal="center" vertical="center"/>
    </xf>
    <xf numFmtId="0" fontId="0" fillId="2" borderId="0" xfId="0" applyFill="1" applyAlignment="1">
      <alignment horizontal="left" vertical="center"/>
    </xf>
    <xf numFmtId="0" fontId="0" fillId="2" borderId="0" xfId="0" applyFill="1" applyAlignment="1" applyProtection="1">
      <alignment vertical="top" wrapText="1"/>
      <protection locked="0"/>
    </xf>
    <xf numFmtId="0" fontId="18" fillId="2" borderId="2" xfId="0" applyFont="1" applyFill="1" applyBorder="1" applyAlignment="1">
      <alignment horizontal="left" vertical="top" wrapText="1"/>
    </xf>
    <xf numFmtId="0" fontId="0" fillId="2" borderId="0" xfId="0" applyFill="1"/>
    <xf numFmtId="0" fontId="0" fillId="2" borderId="0" xfId="0" applyFill="1" applyAlignment="1">
      <alignment wrapText="1"/>
    </xf>
    <xf numFmtId="0" fontId="0" fillId="2" borderId="0" xfId="0" applyFill="1" applyAlignment="1" applyProtection="1">
      <alignment wrapText="1"/>
      <protection locked="0"/>
    </xf>
    <xf numFmtId="0" fontId="0" fillId="2" borderId="0" xfId="0" applyFill="1" applyAlignment="1">
      <alignment vertical="top"/>
    </xf>
    <xf numFmtId="0" fontId="0" fillId="2" borderId="0" xfId="0" applyFill="1" applyAlignment="1">
      <alignment vertical="center"/>
    </xf>
    <xf numFmtId="167" fontId="0" fillId="2" borderId="0" xfId="0" applyNumberFormat="1" applyFill="1" applyAlignment="1" applyProtection="1">
      <alignment horizontal="left" vertical="top" wrapText="1"/>
      <protection locked="0"/>
    </xf>
    <xf numFmtId="0" fontId="0" fillId="2" borderId="0" xfId="0" applyFill="1" applyAlignment="1" applyProtection="1">
      <alignment horizontal="center"/>
      <protection locked="0"/>
    </xf>
    <xf numFmtId="0" fontId="19" fillId="13" borderId="2" xfId="0" applyFont="1" applyFill="1" applyBorder="1" applyAlignment="1">
      <alignment horizontal="center" vertical="center" wrapText="1"/>
    </xf>
    <xf numFmtId="0" fontId="20" fillId="2" borderId="0" xfId="0" applyFont="1" applyFill="1"/>
    <xf numFmtId="0" fontId="18" fillId="2" borderId="2" xfId="0" applyFont="1" applyFill="1" applyBorder="1" applyAlignment="1">
      <alignment horizontal="center" vertical="top"/>
    </xf>
    <xf numFmtId="2" fontId="18" fillId="2" borderId="2" xfId="0" applyNumberFormat="1" applyFont="1" applyFill="1" applyBorder="1" applyAlignment="1">
      <alignment horizontal="center" vertical="top"/>
    </xf>
    <xf numFmtId="2" fontId="18" fillId="2" borderId="2" xfId="0" applyNumberFormat="1" applyFont="1" applyFill="1" applyBorder="1" applyAlignment="1">
      <alignment horizontal="center" vertical="top"/>
    </xf>
    <xf numFmtId="0" fontId="18" fillId="2" borderId="0" xfId="0" applyFont="1" applyFill="1"/>
    <xf numFmtId="0" fontId="18" fillId="2" borderId="2" xfId="0" applyFont="1" applyFill="1" applyBorder="1" applyAlignment="1">
      <alignment horizontal="center" vertical="top"/>
    </xf>
    <xf numFmtId="2" fontId="18" fillId="2" borderId="2" xfId="0" applyNumberFormat="1" applyFont="1" applyFill="1" applyBorder="1" applyAlignment="1">
      <alignment horizontal="center" vertical="top"/>
    </xf>
    <xf numFmtId="0" fontId="18" fillId="2" borderId="2" xfId="0" applyFont="1" applyFill="1" applyBorder="1" applyAlignment="1">
      <alignment horizontal="left" vertical="top"/>
    </xf>
    <xf numFmtId="2" fontId="18" fillId="2" borderId="2" xfId="0" applyNumberFormat="1" applyFont="1" applyFill="1" applyBorder="1" applyAlignment="1" applyProtection="1">
      <alignment horizontal="center" vertical="top"/>
      <protection locked="0"/>
    </xf>
    <xf numFmtId="2" fontId="18" fillId="2" borderId="2" xfId="0" applyNumberFormat="1" applyFont="1" applyFill="1" applyBorder="1" applyAlignment="1" applyProtection="1">
      <alignment horizontal="center" vertical="top"/>
      <protection locked="0"/>
    </xf>
    <xf numFmtId="0" fontId="0" fillId="2" borderId="0" xfId="0" applyFill="1" applyAlignment="1">
      <alignment horizontal="center"/>
    </xf>
    <xf numFmtId="0" fontId="0" fillId="2" borderId="0" xfId="0" applyFill="1" applyAlignment="1">
      <alignment horizontal="center" vertical="center"/>
    </xf>
    <xf numFmtId="0" fontId="5" fillId="3" borderId="0" xfId="0" applyFont="1" applyFill="1" applyAlignment="1">
      <alignment horizontal="center" vertical="center"/>
    </xf>
    <xf numFmtId="0" fontId="0" fillId="2" borderId="0" xfId="0" applyFill="1" applyAlignment="1">
      <alignment horizontal="left" vertical="center"/>
    </xf>
    <xf numFmtId="0" fontId="17" fillId="2" borderId="0" xfId="0" applyFont="1" applyFill="1" applyAlignment="1">
      <alignment horizontal="center" vertical="center"/>
    </xf>
    <xf numFmtId="0" fontId="16" fillId="2" borderId="0" xfId="0" applyFont="1" applyFill="1" applyAlignment="1">
      <alignment vertical="center"/>
    </xf>
    <xf numFmtId="0" fontId="16" fillId="2" borderId="0" xfId="0" applyFont="1" applyFill="1" applyAlignment="1">
      <alignment horizontal="center" vertical="center"/>
    </xf>
    <xf numFmtId="0" fontId="1" fillId="2" borderId="0" xfId="0" applyFont="1" applyFill="1" applyAlignment="1">
      <alignment vertical="top"/>
    </xf>
    <xf numFmtId="0" fontId="1" fillId="2" borderId="0" xfId="0" applyFont="1" applyFill="1" applyAlignment="1" applyProtection="1">
      <alignment vertical="top"/>
      <protection locked="0"/>
    </xf>
    <xf numFmtId="0" fontId="1" fillId="2" borderId="0" xfId="0" applyFont="1" applyFill="1" applyAlignment="1" applyProtection="1">
      <alignment vertical="top" wrapText="1"/>
      <protection locked="0"/>
    </xf>
    <xf numFmtId="167" fontId="1" fillId="2" borderId="0" xfId="0" applyNumberFormat="1" applyFont="1" applyFill="1" applyAlignment="1" applyProtection="1">
      <alignment horizontal="left" vertical="top" wrapText="1"/>
      <protection locked="0"/>
    </xf>
    <xf numFmtId="14" fontId="1" fillId="2" borderId="0" xfId="0" applyNumberFormat="1" applyFont="1" applyFill="1" applyAlignment="1" applyProtection="1">
      <alignment horizontal="left" vertical="top" wrapText="1"/>
      <protection locked="0"/>
    </xf>
    <xf numFmtId="0" fontId="17" fillId="13" borderId="2"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13" borderId="32" xfId="0" applyFont="1" applyFill="1" applyBorder="1" applyAlignment="1">
      <alignment horizontal="center" vertical="center" wrapText="1"/>
    </xf>
    <xf numFmtId="0" fontId="1" fillId="2" borderId="33" xfId="0" applyFont="1" applyFill="1" applyBorder="1"/>
    <xf numFmtId="0" fontId="17" fillId="14" borderId="34" xfId="0" applyFont="1" applyFill="1" applyBorder="1" applyAlignment="1">
      <alignment horizontal="center" vertical="center" wrapText="1"/>
    </xf>
    <xf numFmtId="0" fontId="17" fillId="15" borderId="34" xfId="0" applyFont="1" applyFill="1" applyBorder="1" applyAlignment="1">
      <alignment horizontal="center" vertical="center" wrapText="1"/>
    </xf>
    <xf numFmtId="0" fontId="20" fillId="2" borderId="2" xfId="0" applyFont="1" applyFill="1" applyBorder="1" applyAlignment="1">
      <alignment horizontal="center" vertical="top" wrapText="1"/>
    </xf>
    <xf numFmtId="0" fontId="19" fillId="2" borderId="2" xfId="0" applyFont="1" applyFill="1" applyBorder="1" applyAlignment="1">
      <alignment horizontal="left" vertical="top" wrapText="1"/>
    </xf>
    <xf numFmtId="0" fontId="20" fillId="2" borderId="2" xfId="0" applyFont="1" applyFill="1" applyBorder="1" applyAlignment="1">
      <alignment horizontal="left" vertical="top" wrapText="1"/>
    </xf>
    <xf numFmtId="0" fontId="20" fillId="2" borderId="31" xfId="0" applyFont="1" applyFill="1" applyBorder="1" applyAlignment="1">
      <alignment horizontal="left" vertical="top" wrapText="1"/>
    </xf>
    <xf numFmtId="2" fontId="0" fillId="2" borderId="35" xfId="0" applyNumberFormat="1" applyFill="1" applyBorder="1" applyAlignment="1">
      <alignment horizontal="center" vertical="top" wrapText="1"/>
    </xf>
    <xf numFmtId="2" fontId="1" fillId="2" borderId="0" xfId="0" applyNumberFormat="1" applyFont="1" applyFill="1"/>
    <xf numFmtId="2" fontId="0" fillId="14" borderId="2" xfId="0" applyNumberFormat="1" applyFill="1" applyBorder="1" applyAlignment="1">
      <alignment horizontal="center" vertical="top" wrapText="1"/>
    </xf>
    <xf numFmtId="2" fontId="0" fillId="15" borderId="2" xfId="0" applyNumberFormat="1" applyFill="1" applyBorder="1" applyAlignment="1">
      <alignment horizontal="center" vertical="top" wrapText="1"/>
    </xf>
    <xf numFmtId="0" fontId="20" fillId="2" borderId="2" xfId="0" applyFont="1" applyFill="1" applyBorder="1" applyAlignment="1">
      <alignment horizontal="left" vertical="top" wrapText="1"/>
    </xf>
    <xf numFmtId="0" fontId="20" fillId="2" borderId="31" xfId="0" applyFont="1" applyFill="1" applyBorder="1" applyAlignment="1">
      <alignment horizontal="left" vertical="top" wrapText="1"/>
    </xf>
    <xf numFmtId="2" fontId="0" fillId="2" borderId="35" xfId="0" applyNumberFormat="1" applyFill="1" applyBorder="1" applyAlignment="1">
      <alignment horizontal="center" vertical="top" wrapText="1"/>
    </xf>
    <xf numFmtId="2" fontId="0" fillId="14" borderId="2" xfId="0" applyNumberFormat="1" applyFill="1" applyBorder="1" applyAlignment="1">
      <alignment horizontal="center" vertical="top" wrapText="1"/>
    </xf>
    <xf numFmtId="2" fontId="0" fillId="15" borderId="2" xfId="0" applyNumberFormat="1" applyFill="1" applyBorder="1" applyAlignment="1">
      <alignment horizontal="center" vertical="top" wrapText="1"/>
    </xf>
    <xf numFmtId="0" fontId="20" fillId="2" borderId="2" xfId="0" applyFont="1" applyFill="1" applyBorder="1" applyAlignment="1">
      <alignment vertical="top" wrapText="1"/>
    </xf>
    <xf numFmtId="0" fontId="20" fillId="2" borderId="22" xfId="0" applyFont="1" applyFill="1" applyBorder="1" applyAlignment="1">
      <alignment horizontal="left" vertical="top" wrapText="1"/>
    </xf>
    <xf numFmtId="0" fontId="20" fillId="2" borderId="22" xfId="0" applyFont="1" applyFill="1" applyBorder="1" applyAlignment="1">
      <alignment horizontal="left" vertical="top" wrapText="1"/>
    </xf>
    <xf numFmtId="0" fontId="20" fillId="2" borderId="31" xfId="0" applyFont="1" applyFill="1" applyBorder="1" applyAlignment="1">
      <alignment horizontal="left" vertical="top" wrapText="1"/>
    </xf>
    <xf numFmtId="2" fontId="0" fillId="2" borderId="35" xfId="0" applyNumberFormat="1" applyFill="1" applyBorder="1" applyAlignment="1">
      <alignment horizontal="center" vertical="top" wrapText="1"/>
    </xf>
    <xf numFmtId="2" fontId="0" fillId="14" borderId="2" xfId="0" applyNumberFormat="1" applyFill="1" applyBorder="1" applyAlignment="1">
      <alignment horizontal="center" vertical="top" wrapText="1"/>
    </xf>
    <xf numFmtId="2" fontId="0" fillId="15" borderId="2" xfId="0" applyNumberFormat="1" applyFill="1" applyBorder="1" applyAlignment="1">
      <alignment horizontal="center" vertical="top" wrapText="1"/>
    </xf>
    <xf numFmtId="0" fontId="20" fillId="2" borderId="2" xfId="0" applyFont="1" applyFill="1" applyBorder="1" applyAlignment="1">
      <alignment horizontal="left" vertical="top" wrapText="1"/>
    </xf>
    <xf numFmtId="0" fontId="20" fillId="2" borderId="2" xfId="0" applyFont="1" applyFill="1" applyBorder="1" applyAlignment="1">
      <alignment vertical="top" wrapText="1"/>
    </xf>
    <xf numFmtId="0" fontId="20" fillId="2" borderId="2" xfId="0" applyFont="1" applyFill="1" applyBorder="1" applyAlignment="1">
      <alignment horizontal="left" vertical="top"/>
    </xf>
    <xf numFmtId="0" fontId="20" fillId="2" borderId="31" xfId="0" applyFont="1" applyFill="1" applyBorder="1" applyAlignment="1">
      <alignment horizontal="left" vertical="top"/>
    </xf>
    <xf numFmtId="2" fontId="0" fillId="2" borderId="35" xfId="0" applyNumberFormat="1" applyFill="1" applyBorder="1" applyAlignment="1" applyProtection="1">
      <alignment horizontal="center" vertical="top"/>
      <protection locked="0"/>
    </xf>
    <xf numFmtId="2" fontId="0" fillId="14" borderId="2" xfId="0" applyNumberFormat="1" applyFill="1" applyBorder="1" applyAlignment="1" applyProtection="1">
      <alignment horizontal="center" vertical="top"/>
      <protection locked="0"/>
    </xf>
    <xf numFmtId="2" fontId="0" fillId="15" borderId="2" xfId="0" applyNumberFormat="1" applyFill="1" applyBorder="1" applyAlignment="1" applyProtection="1">
      <alignment horizontal="center" vertical="top"/>
      <protection locked="0"/>
    </xf>
    <xf numFmtId="2" fontId="0" fillId="2" borderId="35" xfId="0" applyNumberFormat="1" applyFill="1" applyBorder="1" applyAlignment="1" applyProtection="1">
      <alignment horizontal="center" vertical="top" wrapText="1"/>
      <protection locked="0"/>
    </xf>
    <xf numFmtId="2" fontId="0" fillId="14" borderId="2" xfId="0" applyNumberFormat="1" applyFill="1" applyBorder="1" applyAlignment="1" applyProtection="1">
      <alignment horizontal="center" vertical="top" wrapText="1"/>
      <protection locked="0"/>
    </xf>
    <xf numFmtId="2" fontId="0" fillId="15" borderId="2" xfId="0" applyNumberFormat="1" applyFill="1" applyBorder="1" applyAlignment="1" applyProtection="1">
      <alignment horizontal="center" vertical="top" wrapText="1"/>
      <protection locked="0"/>
    </xf>
    <xf numFmtId="0" fontId="20" fillId="2" borderId="2" xfId="0" applyFont="1" applyFill="1" applyBorder="1" applyAlignment="1" applyProtection="1">
      <alignment horizontal="left" vertical="top" wrapText="1"/>
      <protection locked="0"/>
    </xf>
    <xf numFmtId="0" fontId="20" fillId="2" borderId="31" xfId="0" applyFont="1" applyFill="1" applyBorder="1" applyAlignment="1" applyProtection="1">
      <alignment horizontal="left" vertical="top" wrapText="1"/>
      <protection locked="0"/>
    </xf>
    <xf numFmtId="0" fontId="20" fillId="2" borderId="2" xfId="0" applyFont="1" applyFill="1" applyBorder="1" applyAlignment="1" applyProtection="1">
      <alignment horizontal="left" vertical="top" wrapText="1"/>
      <protection locked="0"/>
    </xf>
    <xf numFmtId="0" fontId="20" fillId="2" borderId="31" xfId="0" applyFont="1" applyFill="1" applyBorder="1" applyAlignment="1" applyProtection="1">
      <alignment horizontal="left" vertical="top" wrapText="1"/>
      <protection locked="0"/>
    </xf>
    <xf numFmtId="0" fontId="20" fillId="2" borderId="22" xfId="0" applyFont="1" applyFill="1" applyBorder="1" applyAlignment="1" applyProtection="1">
      <alignment horizontal="left" vertical="top" wrapText="1"/>
      <protection locked="0"/>
    </xf>
    <xf numFmtId="2" fontId="0" fillId="2" borderId="35" xfId="0" applyNumberFormat="1" applyFill="1" applyBorder="1" applyAlignment="1">
      <alignment horizontal="center" vertical="top"/>
    </xf>
    <xf numFmtId="2" fontId="0" fillId="14" borderId="2" xfId="0" applyNumberFormat="1" applyFill="1" applyBorder="1" applyAlignment="1">
      <alignment horizontal="center" vertical="top"/>
    </xf>
    <xf numFmtId="2" fontId="0" fillId="15" borderId="2" xfId="0" applyNumberFormat="1" applyFill="1" applyBorder="1" applyAlignment="1">
      <alignment horizontal="center" vertical="top"/>
    </xf>
    <xf numFmtId="0" fontId="20" fillId="8" borderId="2" xfId="0" applyFont="1" applyFill="1" applyBorder="1" applyAlignment="1">
      <alignment horizontal="center" vertical="top" wrapText="1"/>
    </xf>
    <xf numFmtId="0" fontId="19" fillId="8" borderId="2" xfId="0" applyFont="1" applyFill="1" applyBorder="1" applyAlignment="1">
      <alignment horizontal="left" vertical="top" wrapText="1"/>
    </xf>
    <xf numFmtId="0" fontId="19" fillId="8" borderId="2" xfId="0" applyFont="1" applyFill="1" applyBorder="1" applyAlignment="1">
      <alignment horizontal="left" vertical="top" wrapText="1"/>
    </xf>
    <xf numFmtId="2" fontId="0" fillId="2" borderId="36" xfId="0" applyNumberFormat="1" applyFill="1" applyBorder="1" applyAlignment="1">
      <alignment horizontal="center" vertical="top"/>
    </xf>
    <xf numFmtId="0" fontId="1" fillId="2" borderId="37" xfId="0" applyFont="1" applyFill="1" applyBorder="1"/>
    <xf numFmtId="0" fontId="20" fillId="2" borderId="38" xfId="0" applyFont="1" applyFill="1" applyBorder="1" applyAlignment="1">
      <alignment horizontal="left" vertical="top" wrapText="1"/>
    </xf>
    <xf numFmtId="2" fontId="0" fillId="14" borderId="38" xfId="0" applyNumberFormat="1" applyFill="1" applyBorder="1" applyAlignment="1">
      <alignment horizontal="center" vertical="top"/>
    </xf>
    <xf numFmtId="2" fontId="0" fillId="15" borderId="38" xfId="0" applyNumberFormat="1" applyFill="1" applyBorder="1" applyAlignment="1">
      <alignment horizontal="center" vertical="top"/>
    </xf>
    <xf numFmtId="0" fontId="0" fillId="2" borderId="0" xfId="0" applyFill="1" applyAlignment="1">
      <alignment horizontal="left" vertical="top" wrapText="1"/>
    </xf>
    <xf numFmtId="0" fontId="1" fillId="2" borderId="0" xfId="0" applyFont="1" applyFill="1" applyAlignment="1" applyProtection="1">
      <alignment horizontal="left" vertical="top" wrapText="1"/>
      <protection locked="0"/>
    </xf>
    <xf numFmtId="0" fontId="1" fillId="2" borderId="0" xfId="0" applyFont="1" applyFill="1" applyAlignment="1">
      <alignment horizontal="left" vertical="top" wrapText="1"/>
    </xf>
    <xf numFmtId="0" fontId="1" fillId="2" borderId="0" xfId="0" applyFont="1" applyFill="1" applyAlignment="1" applyProtection="1">
      <alignment horizontal="left" vertical="top"/>
      <protection locked="0"/>
    </xf>
    <xf numFmtId="0" fontId="1" fillId="2" borderId="0" xfId="0" applyFont="1" applyFill="1" applyAlignment="1">
      <alignment horizontal="left" vertical="top"/>
    </xf>
    <xf numFmtId="0" fontId="1" fillId="2" borderId="0" xfId="0" applyFont="1" applyFill="1" applyAlignment="1" applyProtection="1">
      <alignment horizontal="left" vertical="top"/>
      <protection locked="0"/>
    </xf>
    <xf numFmtId="0" fontId="1" fillId="2" borderId="0" xfId="0" applyFont="1" applyFill="1" applyAlignment="1" applyProtection="1">
      <alignment horizontal="center" vertical="top"/>
      <protection locked="0"/>
    </xf>
    <xf numFmtId="0" fontId="1" fillId="2" borderId="0" xfId="0" applyFont="1" applyFill="1" applyAlignment="1" applyProtection="1">
      <alignment horizontal="left" vertical="top" wrapText="1"/>
      <protection locked="0"/>
    </xf>
    <xf numFmtId="0" fontId="1" fillId="2" borderId="0" xfId="0" applyFont="1" applyFill="1" applyAlignment="1" applyProtection="1">
      <alignment horizontal="center" vertical="top" wrapText="1"/>
      <protection locked="0"/>
    </xf>
    <xf numFmtId="0" fontId="1" fillId="2" borderId="0" xfId="0" applyFont="1" applyFill="1" applyAlignment="1">
      <alignment horizontal="center" vertical="top" wrapText="1"/>
    </xf>
    <xf numFmtId="0" fontId="1" fillId="2" borderId="0" xfId="0" applyFont="1" applyFill="1" applyAlignment="1">
      <alignment vertical="center"/>
    </xf>
    <xf numFmtId="167" fontId="1" fillId="2" borderId="0" xfId="0" applyNumberFormat="1" applyFont="1" applyFill="1" applyAlignment="1">
      <alignment horizontal="left" vertical="center"/>
    </xf>
    <xf numFmtId="0" fontId="16" fillId="2" borderId="0" xfId="0" applyFont="1" applyFill="1"/>
    <xf numFmtId="0" fontId="1" fillId="2" borderId="0" xfId="0" applyFont="1" applyFill="1" applyAlignment="1" applyProtection="1">
      <alignment vertical="top" wrapText="1"/>
      <protection locked="0"/>
    </xf>
    <xf numFmtId="0" fontId="1" fillId="2" borderId="0" xfId="0" applyFont="1" applyFill="1" applyAlignment="1">
      <alignment vertical="top"/>
    </xf>
    <xf numFmtId="165" fontId="0" fillId="5" borderId="3" xfId="0" applyNumberFormat="1" applyFill="1" applyBorder="1" applyAlignment="1" applyProtection="1">
      <alignment horizontal="center" vertical="center"/>
      <protection locked="0"/>
    </xf>
    <xf numFmtId="0" fontId="0" fillId="20" borderId="0" xfId="0" applyFill="1" applyAlignment="1">
      <alignment horizontal="left"/>
    </xf>
    <xf numFmtId="0" fontId="5" fillId="3" borderId="0" xfId="0" applyFont="1" applyFill="1" applyAlignment="1">
      <alignment horizontal="center" vertical="center"/>
    </xf>
    <xf numFmtId="0" fontId="11" fillId="3" borderId="0" xfId="0" applyFont="1" applyFill="1" applyAlignment="1">
      <alignment horizontal="center" vertical="center"/>
    </xf>
    <xf numFmtId="0" fontId="5" fillId="8" borderId="0" xfId="0" applyFont="1" applyFill="1" applyAlignment="1">
      <alignment horizontal="left" vertical="center"/>
    </xf>
    <xf numFmtId="167" fontId="5" fillId="8" borderId="0" xfId="0" applyNumberFormat="1" applyFont="1" applyFill="1" applyAlignment="1">
      <alignment horizontal="left" vertical="center"/>
    </xf>
    <xf numFmtId="0" fontId="21" fillId="16" borderId="0" xfId="0" applyFont="1" applyFill="1" applyAlignment="1">
      <alignment horizontal="center" vertical="center"/>
    </xf>
    <xf numFmtId="0" fontId="21" fillId="17" borderId="0" xfId="0" applyFont="1" applyFill="1" applyAlignment="1">
      <alignment horizontal="center" vertical="center"/>
    </xf>
    <xf numFmtId="0" fontId="5" fillId="8" borderId="0" xfId="0" applyFont="1" applyFill="1" applyAlignment="1">
      <alignment horizontal="left" vertical="center" wrapText="1"/>
    </xf>
    <xf numFmtId="0" fontId="21" fillId="18" borderId="0" xfId="0" applyFont="1" applyFill="1" applyAlignment="1">
      <alignment horizontal="center" vertical="center"/>
    </xf>
    <xf numFmtId="0" fontId="15" fillId="11" borderId="46" xfId="0" applyFont="1" applyFill="1" applyBorder="1" applyAlignment="1">
      <alignment horizontal="left" vertical="center" wrapText="1"/>
    </xf>
    <xf numFmtId="0" fontId="15" fillId="11" borderId="17" xfId="0" applyFont="1" applyFill="1" applyBorder="1" applyAlignment="1">
      <alignment horizontal="left" vertical="center" wrapText="1"/>
    </xf>
    <xf numFmtId="0" fontId="0" fillId="2" borderId="6" xfId="0" applyFill="1" applyBorder="1" applyAlignment="1">
      <alignment horizontal="left" vertical="center" wrapText="1"/>
    </xf>
    <xf numFmtId="0" fontId="0" fillId="2" borderId="16" xfId="0" applyFill="1" applyBorder="1" applyAlignment="1">
      <alignment horizontal="left" vertical="center" wrapText="1"/>
    </xf>
    <xf numFmtId="0" fontId="0" fillId="2" borderId="39" xfId="0" applyFill="1" applyBorder="1" applyAlignment="1">
      <alignment horizontal="center" vertical="top"/>
    </xf>
    <xf numFmtId="0" fontId="0" fillId="2" borderId="40" xfId="0" applyFill="1" applyBorder="1" applyAlignment="1">
      <alignment horizontal="center" vertical="top"/>
    </xf>
    <xf numFmtId="0" fontId="0" fillId="2" borderId="41" xfId="0" applyFill="1" applyBorder="1" applyAlignment="1">
      <alignment horizontal="center" vertical="top"/>
    </xf>
    <xf numFmtId="0" fontId="17" fillId="2" borderId="48" xfId="0" applyFont="1" applyFill="1" applyBorder="1" applyAlignment="1">
      <alignment horizontal="center" vertical="top" wrapText="1"/>
    </xf>
    <xf numFmtId="0" fontId="17" fillId="2" borderId="49" xfId="0" applyFont="1" applyFill="1" applyBorder="1" applyAlignment="1">
      <alignment horizontal="center" vertical="top" wrapText="1"/>
    </xf>
    <xf numFmtId="0" fontId="17" fillId="2" borderId="50" xfId="0" applyFont="1" applyFill="1" applyBorder="1" applyAlignment="1">
      <alignment horizontal="center" vertical="top" wrapText="1"/>
    </xf>
    <xf numFmtId="0" fontId="0" fillId="2" borderId="42" xfId="0" applyFill="1" applyBorder="1" applyAlignment="1">
      <alignment horizontal="left" vertical="center" wrapText="1"/>
    </xf>
    <xf numFmtId="0" fontId="0" fillId="2" borderId="43" xfId="0" applyFill="1" applyBorder="1" applyAlignment="1">
      <alignment horizontal="left" vertical="center" wrapText="1"/>
    </xf>
    <xf numFmtId="0" fontId="0" fillId="2" borderId="46" xfId="0" applyFill="1" applyBorder="1" applyAlignment="1">
      <alignment horizontal="left" vertical="center"/>
    </xf>
    <xf numFmtId="0" fontId="0" fillId="2" borderId="17" xfId="0" applyFill="1" applyBorder="1" applyAlignment="1">
      <alignment horizontal="left" vertical="center"/>
    </xf>
    <xf numFmtId="0" fontId="0" fillId="2" borderId="6" xfId="0" applyFill="1" applyBorder="1" applyAlignment="1">
      <alignment horizontal="left" vertical="top" wrapText="1"/>
    </xf>
    <xf numFmtId="0" fontId="0" fillId="2" borderId="16" xfId="0" applyFill="1" applyBorder="1" applyAlignment="1">
      <alignment horizontal="left" vertical="top" wrapText="1"/>
    </xf>
    <xf numFmtId="0" fontId="0" fillId="2" borderId="46" xfId="0" applyFill="1" applyBorder="1" applyAlignment="1">
      <alignment horizontal="left" vertical="center" wrapText="1"/>
    </xf>
    <xf numFmtId="0" fontId="0" fillId="2" borderId="17" xfId="0" applyFill="1" applyBorder="1" applyAlignment="1">
      <alignment horizontal="left" vertical="center" wrapText="1"/>
    </xf>
    <xf numFmtId="0" fontId="0" fillId="2" borderId="48" xfId="0" applyFill="1" applyBorder="1" applyAlignment="1">
      <alignment horizontal="center" vertical="top" wrapText="1"/>
    </xf>
    <xf numFmtId="0" fontId="0" fillId="2" borderId="49" xfId="0" applyFill="1" applyBorder="1" applyAlignment="1">
      <alignment horizontal="center" vertical="top" wrapText="1"/>
    </xf>
    <xf numFmtId="0" fontId="0" fillId="2" borderId="50" xfId="0" applyFill="1" applyBorder="1" applyAlignment="1">
      <alignment horizontal="center" vertical="top" wrapText="1"/>
    </xf>
    <xf numFmtId="0" fontId="0" fillId="2" borderId="21" xfId="0" applyFill="1" applyBorder="1" applyAlignment="1">
      <alignment horizontal="center" vertical="center" textRotation="90"/>
    </xf>
    <xf numFmtId="0" fontId="0" fillId="2" borderId="31" xfId="0" applyFill="1" applyBorder="1" applyAlignment="1">
      <alignment horizontal="center" vertical="center" textRotation="90"/>
    </xf>
    <xf numFmtId="0" fontId="0" fillId="2" borderId="25" xfId="0" applyFill="1" applyBorder="1" applyAlignment="1">
      <alignment horizontal="center" vertical="center" textRotation="90"/>
    </xf>
    <xf numFmtId="0" fontId="0" fillId="2" borderId="21" xfId="0" applyFill="1" applyBorder="1" applyAlignment="1">
      <alignment horizontal="center" vertical="center" textRotation="90" wrapText="1"/>
    </xf>
    <xf numFmtId="0" fontId="0" fillId="2" borderId="31" xfId="0" applyFill="1" applyBorder="1" applyAlignment="1">
      <alignment horizontal="center" vertical="center" textRotation="90" wrapText="1"/>
    </xf>
    <xf numFmtId="0" fontId="0" fillId="2" borderId="25" xfId="0" applyFill="1" applyBorder="1" applyAlignment="1">
      <alignment horizontal="center" vertical="center" textRotation="90" wrapText="1"/>
    </xf>
    <xf numFmtId="0" fontId="0" fillId="2" borderId="51" xfId="0" applyFill="1" applyBorder="1" applyAlignment="1">
      <alignment horizontal="left" vertical="center" wrapText="1"/>
    </xf>
    <xf numFmtId="0" fontId="18" fillId="2" borderId="22" xfId="0" applyFont="1" applyFill="1" applyBorder="1" applyAlignment="1">
      <alignment horizontal="center" vertical="center" textRotation="90" wrapText="1"/>
    </xf>
    <xf numFmtId="0" fontId="18" fillId="2" borderId="49" xfId="0" applyFont="1" applyFill="1" applyBorder="1" applyAlignment="1">
      <alignment horizontal="center" vertical="center" textRotation="90" wrapText="1"/>
    </xf>
    <xf numFmtId="0" fontId="18" fillId="2" borderId="52" xfId="0" applyFont="1" applyFill="1" applyBorder="1" applyAlignment="1">
      <alignment horizontal="center" vertical="center" textRotation="90" wrapText="1"/>
    </xf>
    <xf numFmtId="0" fontId="0" fillId="2" borderId="2" xfId="0" applyFill="1" applyBorder="1" applyAlignment="1">
      <alignment horizontal="left" vertical="center" wrapText="1"/>
    </xf>
    <xf numFmtId="0" fontId="0" fillId="2" borderId="59" xfId="0" applyFill="1" applyBorder="1" applyAlignment="1">
      <alignment horizontal="left" vertical="center" wrapText="1"/>
    </xf>
    <xf numFmtId="0" fontId="0" fillId="9" borderId="27" xfId="0" applyFill="1" applyBorder="1" applyAlignment="1">
      <alignment horizontal="left" vertical="center" wrapText="1"/>
    </xf>
    <xf numFmtId="0" fontId="0" fillId="9" borderId="16" xfId="0" applyFill="1" applyBorder="1" applyAlignment="1">
      <alignment horizontal="left" vertical="center" wrapText="1"/>
    </xf>
    <xf numFmtId="0" fontId="0" fillId="11" borderId="48" xfId="0" applyFill="1" applyBorder="1" applyAlignment="1">
      <alignment horizontal="center" vertical="top" wrapText="1"/>
    </xf>
    <xf numFmtId="0" fontId="0" fillId="11" borderId="49" xfId="0" applyFill="1" applyBorder="1" applyAlignment="1">
      <alignment horizontal="center" vertical="top" wrapText="1"/>
    </xf>
    <xf numFmtId="0" fontId="0" fillId="11" borderId="50" xfId="0" applyFill="1" applyBorder="1" applyAlignment="1">
      <alignment horizontal="center" vertical="top" wrapText="1"/>
    </xf>
    <xf numFmtId="0" fontId="0" fillId="11" borderId="51" xfId="0" applyFill="1" applyBorder="1" applyAlignment="1">
      <alignment horizontal="left" vertical="center" wrapText="1"/>
    </xf>
    <xf numFmtId="0" fontId="0" fillId="2" borderId="48" xfId="0" applyFill="1" applyBorder="1" applyAlignment="1">
      <alignment horizontal="center" vertical="top"/>
    </xf>
    <xf numFmtId="0" fontId="0" fillId="2" borderId="49" xfId="0" applyFill="1" applyBorder="1" applyAlignment="1">
      <alignment horizontal="center" vertical="top"/>
    </xf>
    <xf numFmtId="0" fontId="0" fillId="2" borderId="50" xfId="0" applyFill="1" applyBorder="1" applyAlignment="1">
      <alignment horizontal="center" vertical="top"/>
    </xf>
    <xf numFmtId="0" fontId="0" fillId="11" borderId="6" xfId="0" applyFill="1" applyBorder="1" applyAlignment="1">
      <alignment horizontal="left" vertical="center" wrapText="1"/>
    </xf>
    <xf numFmtId="0" fontId="0" fillId="11" borderId="16" xfId="0" applyFill="1" applyBorder="1" applyAlignment="1">
      <alignment horizontal="left" vertical="center" wrapText="1"/>
    </xf>
    <xf numFmtId="0" fontId="0" fillId="2" borderId="56" xfId="0" applyFill="1" applyBorder="1" applyAlignment="1">
      <alignment horizontal="left" vertical="center" wrapText="1"/>
    </xf>
    <xf numFmtId="0" fontId="0" fillId="2" borderId="57" xfId="0" applyFill="1" applyBorder="1" applyAlignment="1">
      <alignment horizontal="left" vertical="center" wrapText="1"/>
    </xf>
    <xf numFmtId="0" fontId="0" fillId="8" borderId="6" xfId="0" applyFill="1" applyBorder="1" applyAlignment="1">
      <alignment horizontal="left" vertical="center" wrapText="1"/>
    </xf>
    <xf numFmtId="0" fontId="0" fillId="8" borderId="57" xfId="0" applyFill="1" applyBorder="1" applyAlignment="1">
      <alignment horizontal="left" vertical="center" wrapText="1"/>
    </xf>
    <xf numFmtId="0" fontId="0" fillId="8" borderId="22" xfId="0" applyFill="1" applyBorder="1" applyAlignment="1">
      <alignment horizontal="left" vertical="center" wrapText="1"/>
    </xf>
    <xf numFmtId="0" fontId="0" fillId="8" borderId="52" xfId="0" applyFill="1" applyBorder="1" applyAlignment="1">
      <alignment horizontal="left" vertical="center" wrapText="1"/>
    </xf>
    <xf numFmtId="0" fontId="0" fillId="2" borderId="55" xfId="0" applyFill="1" applyBorder="1" applyAlignment="1">
      <alignment horizontal="left" vertical="center"/>
    </xf>
    <xf numFmtId="0" fontId="0" fillId="11" borderId="39" xfId="0" applyFill="1" applyBorder="1" applyAlignment="1">
      <alignment horizontal="center" vertical="top"/>
    </xf>
    <xf numFmtId="0" fontId="0" fillId="11" borderId="40" xfId="0" applyFill="1" applyBorder="1" applyAlignment="1">
      <alignment horizontal="center" vertical="top"/>
    </xf>
    <xf numFmtId="0" fontId="0" fillId="11" borderId="41" xfId="0" applyFill="1" applyBorder="1" applyAlignment="1">
      <alignment horizontal="center" vertical="top"/>
    </xf>
    <xf numFmtId="0" fontId="0" fillId="11" borderId="46" xfId="0" applyFill="1" applyBorder="1" applyAlignment="1">
      <alignment horizontal="left" vertical="center" wrapText="1"/>
    </xf>
    <xf numFmtId="0" fontId="0" fillId="11" borderId="17" xfId="0" applyFill="1" applyBorder="1" applyAlignment="1">
      <alignment horizontal="left" vertical="center" wrapText="1"/>
    </xf>
    <xf numFmtId="0" fontId="15" fillId="11" borderId="2" xfId="0" applyFont="1" applyFill="1" applyBorder="1" applyAlignment="1">
      <alignment horizontal="left" vertical="center" wrapText="1"/>
    </xf>
    <xf numFmtId="0" fontId="0" fillId="2" borderId="44" xfId="0" applyFill="1" applyBorder="1" applyAlignment="1">
      <alignment horizontal="left" vertical="center" wrapText="1"/>
    </xf>
    <xf numFmtId="0" fontId="0" fillId="2" borderId="45" xfId="0" applyFill="1" applyBorder="1" applyAlignment="1">
      <alignment horizontal="left" vertical="center" wrapText="1"/>
    </xf>
    <xf numFmtId="0" fontId="17" fillId="2" borderId="6" xfId="0" applyFont="1" applyFill="1" applyBorder="1" applyAlignment="1">
      <alignment horizontal="left" vertical="center" wrapText="1"/>
    </xf>
    <xf numFmtId="0" fontId="17" fillId="2" borderId="16" xfId="0" applyFont="1" applyFill="1" applyBorder="1" applyAlignment="1">
      <alignment horizontal="left" vertical="center" wrapText="1"/>
    </xf>
    <xf numFmtId="0" fontId="0" fillId="2" borderId="47" xfId="0" applyFill="1" applyBorder="1" applyAlignment="1">
      <alignment horizontal="left" vertical="center" wrapText="1"/>
    </xf>
    <xf numFmtId="0" fontId="0" fillId="2" borderId="9" xfId="0" applyFill="1" applyBorder="1" applyAlignment="1">
      <alignment horizontal="left" vertical="center" wrapText="1"/>
    </xf>
    <xf numFmtId="0" fontId="0" fillId="2" borderId="21" xfId="0" applyFill="1" applyBorder="1" applyAlignment="1">
      <alignment horizontal="left" vertical="center" wrapText="1"/>
    </xf>
    <xf numFmtId="0" fontId="0" fillId="2" borderId="24" xfId="0" applyFill="1" applyBorder="1" applyAlignment="1">
      <alignment horizontal="left" vertical="center" wrapText="1"/>
    </xf>
    <xf numFmtId="0" fontId="17" fillId="2" borderId="42" xfId="0" applyFont="1" applyFill="1" applyBorder="1" applyAlignment="1">
      <alignment horizontal="left" vertical="center" wrapText="1"/>
    </xf>
    <xf numFmtId="0" fontId="17" fillId="2" borderId="43" xfId="0" applyFont="1" applyFill="1" applyBorder="1" applyAlignment="1">
      <alignment horizontal="left" vertical="center" wrapText="1"/>
    </xf>
    <xf numFmtId="0" fontId="17" fillId="2" borderId="58" xfId="0" applyFont="1" applyFill="1" applyBorder="1" applyAlignment="1">
      <alignment horizontal="left" vertical="center" wrapText="1"/>
    </xf>
    <xf numFmtId="0" fontId="0" fillId="2" borderId="53" xfId="0" applyFill="1" applyBorder="1" applyAlignment="1">
      <alignment horizontal="left" vertical="center" wrapText="1"/>
    </xf>
    <xf numFmtId="0" fontId="0" fillId="2" borderId="59" xfId="0" applyFill="1" applyBorder="1" applyAlignment="1">
      <alignment horizontal="left" vertical="center"/>
    </xf>
    <xf numFmtId="0" fontId="0" fillId="2" borderId="50" xfId="0" applyFill="1" applyBorder="1" applyAlignment="1">
      <alignment horizontal="left" vertical="center"/>
    </xf>
    <xf numFmtId="0" fontId="0" fillId="2" borderId="2" xfId="0" applyFill="1" applyBorder="1" applyAlignment="1">
      <alignment horizontal="left"/>
    </xf>
    <xf numFmtId="0" fontId="0" fillId="2" borderId="6" xfId="0" applyFill="1" applyBorder="1" applyAlignment="1">
      <alignment horizontal="left"/>
    </xf>
    <xf numFmtId="0" fontId="0" fillId="2" borderId="16" xfId="0" applyFill="1" applyBorder="1" applyAlignment="1">
      <alignment horizontal="left"/>
    </xf>
    <xf numFmtId="0" fontId="0" fillId="2" borderId="60" xfId="0" applyFill="1" applyBorder="1" applyAlignment="1">
      <alignment horizontal="left" vertical="center" wrapText="1"/>
    </xf>
    <xf numFmtId="0" fontId="0" fillId="2" borderId="55" xfId="0" applyFill="1" applyBorder="1" applyAlignment="1">
      <alignment horizontal="left" vertical="center" wrapText="1"/>
    </xf>
    <xf numFmtId="0" fontId="0" fillId="2" borderId="25" xfId="0" applyFill="1" applyBorder="1" applyAlignment="1">
      <alignment horizontal="left" vertical="center" wrapText="1"/>
    </xf>
    <xf numFmtId="0" fontId="16" fillId="16" borderId="0" xfId="0" applyFont="1" applyFill="1" applyAlignment="1">
      <alignment horizontal="center" vertical="center"/>
    </xf>
    <xf numFmtId="0" fontId="10" fillId="7" borderId="44" xfId="0" applyFont="1" applyFill="1" applyBorder="1" applyAlignment="1">
      <alignment horizontal="center" vertical="center" wrapText="1"/>
    </xf>
    <xf numFmtId="0" fontId="10" fillId="7" borderId="45" xfId="0" applyFont="1" applyFill="1" applyBorder="1" applyAlignment="1">
      <alignment horizontal="center" vertical="center" wrapText="1"/>
    </xf>
    <xf numFmtId="1" fontId="0" fillId="2" borderId="26" xfId="0" applyNumberFormat="1" applyFill="1" applyBorder="1" applyAlignment="1" applyProtection="1">
      <alignment horizontal="center" vertical="center"/>
      <protection locked="0"/>
    </xf>
    <xf numFmtId="1" fontId="0" fillId="2" borderId="8" xfId="0" applyNumberFormat="1" applyFill="1" applyBorder="1" applyAlignment="1" applyProtection="1">
      <alignment horizontal="center" vertical="center"/>
      <protection locked="0"/>
    </xf>
    <xf numFmtId="0" fontId="0" fillId="2" borderId="22" xfId="0" applyFill="1" applyBorder="1" applyAlignment="1">
      <alignment horizontal="left" vertical="center" wrapText="1"/>
    </xf>
    <xf numFmtId="0" fontId="0" fillId="2" borderId="52" xfId="0" applyFill="1" applyBorder="1" applyAlignment="1">
      <alignment horizontal="left" vertical="center" wrapText="1"/>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0" fillId="11" borderId="57" xfId="0" applyFill="1" applyBorder="1" applyAlignment="1">
      <alignment horizontal="left" vertical="center" wrapText="1"/>
    </xf>
    <xf numFmtId="0" fontId="0" fillId="2" borderId="53" xfId="0" applyFill="1" applyBorder="1" applyAlignment="1">
      <alignment horizontal="center" vertical="top" wrapText="1"/>
    </xf>
    <xf numFmtId="0" fontId="0" fillId="2" borderId="31" xfId="0" applyFill="1" applyBorder="1" applyAlignment="1">
      <alignment horizontal="center" vertical="top" wrapText="1"/>
    </xf>
    <xf numFmtId="0" fontId="0" fillId="2" borderId="60" xfId="0" applyFill="1" applyBorder="1" applyAlignment="1">
      <alignment horizontal="center" vertical="top" wrapText="1"/>
    </xf>
    <xf numFmtId="0" fontId="17" fillId="9" borderId="54" xfId="0" applyFont="1" applyFill="1" applyBorder="1" applyAlignment="1">
      <alignment horizontal="left" vertical="center" wrapText="1"/>
    </xf>
    <xf numFmtId="0" fontId="17" fillId="9" borderId="51" xfId="0" applyFont="1" applyFill="1" applyBorder="1" applyAlignment="1">
      <alignment horizontal="left" vertical="center" wrapText="1"/>
    </xf>
    <xf numFmtId="1" fontId="0" fillId="8" borderId="26" xfId="0" applyNumberFormat="1" applyFill="1" applyBorder="1" applyAlignment="1" applyProtection="1">
      <alignment horizontal="center" vertical="center"/>
      <protection locked="0"/>
    </xf>
    <xf numFmtId="1" fontId="0" fillId="8" borderId="8" xfId="0" applyNumberFormat="1" applyFill="1" applyBorder="1" applyAlignment="1" applyProtection="1">
      <alignment horizontal="center" vertical="center"/>
      <protection locked="0"/>
    </xf>
    <xf numFmtId="0" fontId="0" fillId="2" borderId="6" xfId="0" applyFill="1" applyBorder="1" applyAlignment="1">
      <alignment horizontal="right" vertical="center" wrapText="1"/>
    </xf>
    <xf numFmtId="0" fontId="0" fillId="2" borderId="16" xfId="0" applyFill="1" applyBorder="1" applyAlignment="1">
      <alignment horizontal="right" vertical="center" wrapText="1"/>
    </xf>
    <xf numFmtId="0" fontId="15" fillId="11" borderId="51" xfId="0" applyFont="1" applyFill="1" applyBorder="1" applyAlignment="1">
      <alignment horizontal="left" vertical="center" wrapText="1"/>
    </xf>
    <xf numFmtId="0" fontId="15" fillId="11" borderId="6" xfId="0" applyFont="1" applyFill="1" applyBorder="1" applyAlignment="1">
      <alignment horizontal="left" vertical="center" wrapText="1"/>
    </xf>
    <xf numFmtId="0" fontId="15" fillId="11" borderId="16" xfId="0" applyFont="1" applyFill="1" applyBorder="1" applyAlignment="1">
      <alignment horizontal="left" vertical="center" wrapText="1"/>
    </xf>
    <xf numFmtId="0" fontId="1" fillId="2" borderId="0" xfId="0" applyFont="1" applyFill="1" applyAlignment="1">
      <alignment horizontal="left" vertical="top" wrapText="1"/>
    </xf>
    <xf numFmtId="0" fontId="16" fillId="2" borderId="0" xfId="0" applyFont="1" applyFill="1" applyAlignment="1">
      <alignment horizontal="center" vertical="center"/>
    </xf>
    <xf numFmtId="0" fontId="1" fillId="2" borderId="0" xfId="0" applyFont="1" applyFill="1" applyAlignment="1" applyProtection="1">
      <alignment horizontal="left" vertical="top"/>
      <protection locked="0"/>
    </xf>
    <xf numFmtId="0" fontId="1" fillId="2" borderId="6" xfId="0" applyFont="1" applyFill="1" applyBorder="1" applyAlignment="1">
      <alignment horizontal="left" vertical="top" wrapText="1"/>
    </xf>
    <xf numFmtId="0" fontId="1" fillId="2" borderId="58" xfId="0" applyFont="1" applyFill="1" applyBorder="1" applyAlignment="1">
      <alignment horizontal="left" vertical="top"/>
    </xf>
    <xf numFmtId="0" fontId="1" fillId="2" borderId="16" xfId="0" applyFont="1" applyFill="1" applyBorder="1" applyAlignment="1">
      <alignment horizontal="left" vertical="top"/>
    </xf>
    <xf numFmtId="0" fontId="16" fillId="2" borderId="0" xfId="0" applyFont="1" applyFill="1" applyAlignment="1">
      <alignment horizontal="center"/>
    </xf>
    <xf numFmtId="0" fontId="1" fillId="2" borderId="0" xfId="0" applyFont="1" applyFill="1" applyAlignment="1">
      <alignment horizontal="left" vertical="center"/>
    </xf>
    <xf numFmtId="0" fontId="19" fillId="13" borderId="2" xfId="0" applyFont="1" applyFill="1" applyBorder="1" applyAlignment="1">
      <alignment horizontal="center" vertical="center" wrapText="1"/>
    </xf>
    <xf numFmtId="0" fontId="0" fillId="2" borderId="0" xfId="0" applyFill="1" applyAlignment="1">
      <alignment horizontal="center" vertical="center"/>
    </xf>
    <xf numFmtId="0" fontId="19" fillId="13" borderId="6" xfId="0" applyFont="1" applyFill="1" applyBorder="1" applyAlignment="1">
      <alignment horizontal="center" vertical="center" wrapText="1"/>
    </xf>
    <xf numFmtId="0" fontId="19" fillId="13" borderId="58" xfId="0" applyFont="1" applyFill="1" applyBorder="1" applyAlignment="1">
      <alignment horizontal="center" vertical="center" wrapText="1"/>
    </xf>
    <xf numFmtId="0" fontId="0" fillId="2" borderId="0" xfId="0" applyFill="1" applyAlignment="1" applyProtection="1">
      <alignment horizontal="left" vertical="top" wrapText="1"/>
      <protection locked="0"/>
    </xf>
    <xf numFmtId="0" fontId="0" fillId="2" borderId="0" xfId="0" applyFill="1" applyAlignment="1">
      <alignment horizontal="left" vertical="center"/>
    </xf>
    <xf numFmtId="2" fontId="10" fillId="19" borderId="0" xfId="0" applyNumberFormat="1" applyFont="1" applyFill="1" applyAlignment="1">
      <alignment horizontal="center" vertical="center"/>
    </xf>
    <xf numFmtId="0" fontId="17" fillId="2" borderId="0" xfId="0" applyFont="1" applyFill="1" applyAlignment="1">
      <alignment horizontal="center" vertical="center"/>
    </xf>
  </cellXfs>
  <cellStyles count="1">
    <cellStyle name="Normal" xfId="0" builtinId="0"/>
  </cellStyles>
  <dxfs count="99">
    <dxf>
      <font>
        <b/>
        <i val="0"/>
        <sz val="10"/>
        <color rgb="FF00B050"/>
        <name val="Calibri"/>
      </font>
      <numFmt numFmtId="0" formatCode="General"/>
    </dxf>
    <dxf>
      <font>
        <b/>
        <i val="0"/>
        <sz val="10"/>
        <color rgb="FFFF0000"/>
        <name val="Calibri"/>
      </font>
      <numFmt numFmtId="0" formatCode="General"/>
    </dxf>
    <dxf>
      <font>
        <b/>
        <i val="0"/>
        <sz val="10"/>
        <color rgb="FF00B050"/>
        <name val="Calibri"/>
      </font>
      <numFmt numFmtId="0" formatCode="General"/>
    </dxf>
    <dxf>
      <font>
        <b/>
        <i val="0"/>
        <sz val="10"/>
        <color rgb="FFFF0000"/>
        <name val="Calibri"/>
      </font>
      <numFmt numFmtId="0" formatCode="General"/>
    </dxf>
    <dxf>
      <font>
        <b/>
        <i val="0"/>
        <sz val="10"/>
        <color rgb="FF00B050"/>
        <name val="Calibri"/>
      </font>
      <numFmt numFmtId="0" formatCode="General"/>
    </dxf>
    <dxf>
      <font>
        <b/>
        <i val="0"/>
        <sz val="10"/>
        <color rgb="FFFF0000"/>
        <name val="Calibri"/>
      </font>
      <numFmt numFmtId="0" formatCode="General"/>
    </dxf>
    <dxf>
      <font>
        <b/>
        <i val="0"/>
        <sz val="10"/>
        <color rgb="FF00B050"/>
        <name val="Calibri"/>
      </font>
      <numFmt numFmtId="0" formatCode="General"/>
    </dxf>
    <dxf>
      <font>
        <b/>
        <i val="0"/>
        <sz val="10"/>
        <color rgb="FFFF0000"/>
        <name val="Calibri"/>
      </font>
      <numFmt numFmtId="0" formatCode="General"/>
    </dxf>
    <dxf>
      <font>
        <b/>
        <i val="0"/>
        <sz val="10"/>
        <color rgb="FF00B050"/>
        <name val="Calibri"/>
      </font>
      <numFmt numFmtId="0" formatCode="General"/>
    </dxf>
    <dxf>
      <font>
        <b/>
        <i val="0"/>
        <sz val="10"/>
        <color rgb="FFFF0000"/>
        <name val="Calibri"/>
      </font>
      <numFmt numFmtId="0" formatCode="General"/>
    </dxf>
    <dxf>
      <font>
        <b/>
        <i val="0"/>
        <sz val="10"/>
        <color rgb="FF00B050"/>
        <name val="Calibri"/>
      </font>
      <numFmt numFmtId="0" formatCode="General"/>
    </dxf>
    <dxf>
      <font>
        <b/>
        <i val="0"/>
        <sz val="10"/>
        <color rgb="FFFF0000"/>
        <name val="Calibri"/>
      </font>
      <numFmt numFmtId="0" formatCode="General"/>
    </dxf>
    <dxf>
      <font>
        <b/>
        <i val="0"/>
        <sz val="10"/>
        <color rgb="FF00B050"/>
        <name val="Calibri"/>
      </font>
      <numFmt numFmtId="0" formatCode="General"/>
    </dxf>
    <dxf>
      <font>
        <b/>
        <i val="0"/>
        <sz val="10"/>
        <color rgb="FFFF0000"/>
        <name val="Calibri"/>
      </font>
      <numFmt numFmtId="0" formatCode="General"/>
    </dxf>
    <dxf>
      <font>
        <b/>
        <i val="0"/>
        <sz val="10"/>
        <color rgb="FF00B050"/>
        <name val="Calibri"/>
      </font>
      <numFmt numFmtId="0" formatCode="General"/>
    </dxf>
    <dxf>
      <font>
        <b/>
        <i val="0"/>
        <sz val="10"/>
        <color rgb="FFFF0000"/>
        <name val="Calibri"/>
      </font>
      <numFmt numFmtId="0" formatCode="General"/>
    </dxf>
    <dxf>
      <font>
        <sz val="10"/>
        <color rgb="FFFFFFFF"/>
        <name val="Calibri"/>
      </font>
      <numFmt numFmtId="0" formatCode="General"/>
      <fill>
        <patternFill patternType="solid">
          <fgColor rgb="FF000000"/>
          <bgColor rgb="FF00B050"/>
        </patternFill>
      </fill>
    </dxf>
    <dxf>
      <font>
        <b/>
        <i val="0"/>
        <sz val="10"/>
        <color rgb="FFFFFFFF"/>
        <name val="Calibri"/>
      </font>
      <numFmt numFmtId="0" formatCode="General"/>
      <fill>
        <patternFill patternType="solid">
          <fgColor rgb="FF000000"/>
          <bgColor rgb="FFFF0000"/>
        </patternFill>
      </fill>
    </dxf>
    <dxf>
      <font>
        <b/>
        <i val="0"/>
        <sz val="10"/>
        <color rgb="FF00B050"/>
        <name val="Calibri"/>
      </font>
      <numFmt numFmtId="0" formatCode="General"/>
    </dxf>
    <dxf>
      <font>
        <b/>
        <i val="0"/>
        <sz val="10"/>
        <color rgb="FFFF0000"/>
        <name val="Calibri"/>
      </font>
      <numFmt numFmtId="0" formatCode="General"/>
    </dxf>
    <dxf>
      <numFmt numFmtId="0" formatCode="General"/>
      <fill>
        <patternFill patternType="solid">
          <fgColor rgb="FF000000"/>
          <bgColor rgb="FFD8D8D8"/>
        </patternFill>
      </fill>
    </dxf>
    <dxf>
      <numFmt numFmtId="0" formatCode="General"/>
      <fill>
        <patternFill patternType="solid">
          <fgColor rgb="FF000000"/>
          <bgColor rgb="FF000000"/>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numFmt numFmtId="0" formatCode="General"/>
      <fill>
        <patternFill patternType="solid">
          <fgColor rgb="FF000000"/>
          <bgColor rgb="FFD8D8D8"/>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topLeftCell="A2" zoomScale="60" zoomScaleNormal="60" workbookViewId="0">
      <selection activeCell="Y15" sqref="Y15"/>
    </sheetView>
  </sheetViews>
  <sheetFormatPr defaultColWidth="8.7109375" defaultRowHeight="15" customHeight="1" x14ac:dyDescent="0.25"/>
  <cols>
    <col min="1" max="1" width="3.7109375" style="8" customWidth="1"/>
    <col min="2" max="8" width="8.7109375" style="8"/>
    <col min="9" max="9" width="3.85546875" style="8" customWidth="1"/>
    <col min="10" max="21" width="8.7109375" style="8"/>
    <col min="22" max="22" width="2.7109375" style="8" customWidth="1"/>
    <col min="23" max="23" width="8.7109375" style="8"/>
  </cols>
  <sheetData>
    <row r="1" spans="1:27" ht="15" customHeight="1" x14ac:dyDescent="0.25">
      <c r="A1" s="6"/>
      <c r="B1" s="6"/>
      <c r="C1" s="6"/>
      <c r="D1" s="7"/>
      <c r="E1" s="7"/>
      <c r="F1" s="7"/>
      <c r="G1" s="7"/>
      <c r="H1" s="11"/>
      <c r="I1" s="11"/>
      <c r="J1" s="11"/>
      <c r="K1" s="11"/>
      <c r="L1" s="7"/>
      <c r="M1" s="7"/>
      <c r="N1" s="7"/>
      <c r="O1" s="7"/>
      <c r="P1" s="7"/>
      <c r="Q1" s="7"/>
      <c r="R1" s="7"/>
      <c r="S1" s="7"/>
      <c r="T1" s="7"/>
      <c r="U1" s="7"/>
      <c r="V1" s="7"/>
      <c r="AA1" s="316" t="s">
        <v>0</v>
      </c>
    </row>
    <row r="2" spans="1:27" ht="27" customHeight="1" x14ac:dyDescent="0.25">
      <c r="A2" s="321" t="s">
        <v>1</v>
      </c>
      <c r="B2" s="321"/>
      <c r="C2" s="321"/>
      <c r="D2" s="321"/>
      <c r="E2" s="321"/>
      <c r="F2" s="321"/>
      <c r="G2" s="321"/>
      <c r="H2" s="321"/>
      <c r="I2" s="321"/>
      <c r="J2" s="321"/>
      <c r="K2" s="321"/>
      <c r="L2" s="321"/>
      <c r="M2" s="321"/>
      <c r="N2" s="321"/>
      <c r="O2" s="321"/>
      <c r="P2" s="321"/>
      <c r="Q2" s="321"/>
      <c r="R2" s="321"/>
      <c r="S2" s="321"/>
      <c r="T2" s="321"/>
      <c r="U2" s="321"/>
      <c r="V2" s="321"/>
    </row>
    <row r="3" spans="1:27" ht="27" customHeight="1" x14ac:dyDescent="0.25">
      <c r="A3" s="322" t="s">
        <v>2</v>
      </c>
      <c r="B3" s="322"/>
      <c r="C3" s="322"/>
      <c r="D3" s="322"/>
      <c r="E3" s="322"/>
      <c r="F3" s="322"/>
      <c r="G3" s="322"/>
      <c r="H3" s="322"/>
      <c r="I3" s="322"/>
      <c r="J3" s="322"/>
      <c r="K3" s="322"/>
      <c r="L3" s="322"/>
      <c r="M3" s="322"/>
      <c r="N3" s="322"/>
      <c r="O3" s="322"/>
      <c r="P3" s="322"/>
      <c r="Q3" s="322"/>
      <c r="R3" s="322"/>
      <c r="S3" s="322"/>
      <c r="T3" s="322"/>
      <c r="U3" s="322"/>
      <c r="V3" s="322"/>
    </row>
    <row r="4" spans="1:27" ht="15" customHeight="1" x14ac:dyDescent="0.25">
      <c r="A4" s="7"/>
      <c r="B4" s="7"/>
      <c r="C4" s="7"/>
      <c r="D4" s="7"/>
      <c r="E4" s="7"/>
      <c r="F4" s="7"/>
      <c r="G4" s="9"/>
      <c r="H4" s="9"/>
      <c r="I4" s="9"/>
      <c r="J4" s="9"/>
      <c r="K4" s="9"/>
      <c r="L4" s="9"/>
      <c r="M4" s="9"/>
      <c r="N4" s="9"/>
      <c r="O4" s="9"/>
      <c r="P4" s="9"/>
      <c r="Q4" s="7"/>
      <c r="R4" s="7"/>
      <c r="S4" s="7"/>
      <c r="T4" s="7"/>
      <c r="U4" s="7"/>
      <c r="V4" s="7"/>
    </row>
    <row r="5" spans="1:27" ht="26.45" customHeight="1" x14ac:dyDescent="0.25">
      <c r="A5" s="324" t="s">
        <v>3</v>
      </c>
      <c r="B5" s="324"/>
      <c r="C5" s="324"/>
      <c r="D5" s="324"/>
      <c r="E5" s="324"/>
      <c r="F5" s="324"/>
      <c r="G5" s="324"/>
      <c r="H5" s="324"/>
      <c r="I5" s="324"/>
      <c r="J5" s="324"/>
      <c r="K5" s="324"/>
      <c r="L5" s="324"/>
      <c r="M5" s="324"/>
      <c r="N5" s="324"/>
      <c r="O5" s="324"/>
      <c r="P5" s="324"/>
      <c r="Q5" s="324"/>
      <c r="R5" s="324"/>
      <c r="S5" s="324"/>
      <c r="T5" s="324"/>
      <c r="U5" s="324"/>
      <c r="V5" s="324"/>
    </row>
    <row r="6" spans="1:27" ht="15" customHeight="1" x14ac:dyDescent="0.25">
      <c r="A6" s="7"/>
      <c r="B6" s="7"/>
      <c r="C6" s="7"/>
      <c r="D6" s="7"/>
      <c r="E6" s="7"/>
      <c r="F6" s="7"/>
      <c r="G6" s="9"/>
      <c r="H6" s="9"/>
      <c r="I6" s="9"/>
      <c r="J6" s="9"/>
      <c r="K6" s="9"/>
      <c r="L6" s="9"/>
      <c r="M6" s="9"/>
      <c r="N6" s="9"/>
      <c r="O6" s="9"/>
      <c r="P6" s="9"/>
      <c r="Q6" s="7"/>
      <c r="R6" s="7"/>
      <c r="S6" s="7"/>
      <c r="T6" s="7"/>
      <c r="U6" s="7"/>
      <c r="V6" s="7"/>
    </row>
    <row r="7" spans="1:27" s="12" customFormat="1" ht="24" customHeight="1" x14ac:dyDescent="0.25">
      <c r="A7" s="7"/>
      <c r="B7" s="14"/>
      <c r="C7" s="17" t="s">
        <v>4</v>
      </c>
      <c r="D7" s="15"/>
      <c r="E7" s="14"/>
      <c r="F7" s="15"/>
      <c r="G7" s="15" t="s">
        <v>5</v>
      </c>
      <c r="H7" s="323"/>
      <c r="I7" s="323"/>
      <c r="J7" s="323"/>
      <c r="K7" s="323"/>
      <c r="L7" s="323"/>
      <c r="M7" s="323"/>
      <c r="N7" s="323"/>
      <c r="O7" s="323"/>
      <c r="P7" s="323"/>
      <c r="Q7" s="323"/>
      <c r="R7" s="323"/>
      <c r="S7" s="323"/>
      <c r="T7" s="323"/>
      <c r="U7" s="323"/>
      <c r="V7" s="14"/>
    </row>
    <row r="8" spans="1:27" s="12" customFormat="1" ht="5.85" customHeight="1" x14ac:dyDescent="0.25">
      <c r="A8" s="7"/>
      <c r="B8" s="14"/>
      <c r="C8" s="14"/>
      <c r="D8" s="15"/>
      <c r="E8" s="14"/>
      <c r="F8" s="15"/>
      <c r="G8" s="15"/>
      <c r="H8" s="15"/>
      <c r="I8" s="15"/>
      <c r="J8" s="15"/>
      <c r="K8" s="15"/>
      <c r="L8" s="15"/>
      <c r="M8" s="15"/>
      <c r="N8" s="15"/>
      <c r="O8" s="15"/>
      <c r="P8" s="15"/>
      <c r="Q8" s="15"/>
      <c r="R8" s="15"/>
      <c r="S8" s="15"/>
      <c r="T8" s="15"/>
      <c r="U8" s="15"/>
      <c r="V8" s="14"/>
    </row>
    <row r="9" spans="1:27" s="12" customFormat="1" ht="24" customHeight="1" x14ac:dyDescent="0.25">
      <c r="A9" s="7"/>
      <c r="B9" s="14"/>
      <c r="C9" s="17" t="s">
        <v>6</v>
      </c>
      <c r="D9" s="15"/>
      <c r="E9" s="14"/>
      <c r="F9" s="15"/>
      <c r="G9" s="15" t="s">
        <v>5</v>
      </c>
      <c r="H9" s="319"/>
      <c r="I9" s="319"/>
      <c r="J9" s="319"/>
      <c r="K9" s="319"/>
      <c r="L9" s="319"/>
      <c r="M9" s="319"/>
      <c r="N9" s="319"/>
      <c r="O9" s="319"/>
      <c r="P9" s="319"/>
      <c r="Q9" s="319"/>
      <c r="R9" s="319"/>
      <c r="S9" s="14"/>
      <c r="T9" s="14"/>
      <c r="U9" s="14"/>
      <c r="V9" s="14"/>
    </row>
    <row r="10" spans="1:27" s="12" customFormat="1" ht="5.85" customHeight="1" x14ac:dyDescent="0.25">
      <c r="A10" s="7"/>
      <c r="B10" s="14"/>
      <c r="C10" s="14"/>
      <c r="D10" s="15"/>
      <c r="E10" s="14"/>
      <c r="F10" s="15"/>
      <c r="G10" s="15"/>
      <c r="H10" s="15"/>
      <c r="I10" s="15"/>
      <c r="J10" s="15"/>
      <c r="K10" s="15"/>
      <c r="L10" s="15"/>
      <c r="M10" s="15"/>
      <c r="N10" s="15"/>
      <c r="O10" s="15"/>
      <c r="P10" s="15"/>
      <c r="Q10" s="15"/>
      <c r="R10" s="15"/>
      <c r="S10" s="15"/>
      <c r="T10" s="15"/>
      <c r="U10" s="15"/>
      <c r="V10" s="14"/>
    </row>
    <row r="11" spans="1:27" s="12" customFormat="1" ht="24" customHeight="1" x14ac:dyDescent="0.25">
      <c r="A11" s="7"/>
      <c r="B11" s="14"/>
      <c r="C11" s="17" t="s">
        <v>7</v>
      </c>
      <c r="D11" s="15"/>
      <c r="E11" s="14"/>
      <c r="F11" s="15"/>
      <c r="G11" s="15" t="s">
        <v>5</v>
      </c>
      <c r="H11" s="319"/>
      <c r="I11" s="319"/>
      <c r="J11" s="319"/>
      <c r="K11" s="319"/>
      <c r="L11" s="319"/>
      <c r="M11" s="319"/>
      <c r="N11" s="319"/>
      <c r="O11" s="319"/>
      <c r="P11" s="319"/>
      <c r="Q11" s="319"/>
      <c r="R11" s="319"/>
      <c r="S11" s="14"/>
      <c r="T11" s="14"/>
      <c r="U11" s="14"/>
      <c r="V11" s="14"/>
    </row>
    <row r="12" spans="1:27" s="12" customFormat="1" ht="5.85" customHeight="1" x14ac:dyDescent="0.25">
      <c r="A12" s="7"/>
      <c r="B12" s="14"/>
      <c r="C12" s="14"/>
      <c r="D12" s="15"/>
      <c r="E12" s="14"/>
      <c r="F12" s="15"/>
      <c r="G12" s="15"/>
      <c r="H12" s="15"/>
      <c r="I12" s="15"/>
      <c r="J12" s="15"/>
      <c r="K12" s="15"/>
      <c r="L12" s="15"/>
      <c r="M12" s="15"/>
      <c r="N12" s="15"/>
      <c r="O12" s="15"/>
      <c r="P12" s="15"/>
      <c r="Q12" s="15"/>
      <c r="R12" s="15"/>
      <c r="S12" s="15"/>
      <c r="T12" s="15"/>
      <c r="U12" s="15"/>
      <c r="V12" s="14"/>
    </row>
    <row r="13" spans="1:27" s="12" customFormat="1" ht="24" customHeight="1" x14ac:dyDescent="0.25">
      <c r="A13" s="7"/>
      <c r="B13" s="14"/>
      <c r="C13" s="17" t="s">
        <v>8</v>
      </c>
      <c r="D13" s="15"/>
      <c r="E13" s="14"/>
      <c r="F13" s="15"/>
      <c r="G13" s="15" t="s">
        <v>5</v>
      </c>
      <c r="H13" s="171"/>
      <c r="I13" s="171"/>
      <c r="J13" s="171"/>
      <c r="K13" s="16"/>
      <c r="L13" s="16"/>
      <c r="M13" s="16"/>
      <c r="N13" s="16"/>
      <c r="O13" s="16"/>
      <c r="P13" s="16"/>
      <c r="Q13" s="16"/>
      <c r="R13" s="14"/>
      <c r="S13" s="14"/>
      <c r="T13" s="14"/>
      <c r="U13" s="14"/>
      <c r="V13" s="14"/>
    </row>
    <row r="14" spans="1:27" ht="5.85" customHeight="1" x14ac:dyDescent="0.25">
      <c r="A14" s="7"/>
      <c r="B14" s="7"/>
      <c r="C14" s="7"/>
      <c r="D14" s="13"/>
      <c r="E14" s="7"/>
      <c r="F14" s="7"/>
      <c r="G14" s="7"/>
      <c r="H14" s="7"/>
      <c r="I14" s="7"/>
      <c r="J14" s="7"/>
      <c r="K14" s="7"/>
      <c r="L14" s="10"/>
      <c r="M14" s="10"/>
      <c r="N14" s="10"/>
      <c r="O14" s="10"/>
      <c r="P14" s="10"/>
      <c r="Q14" s="10"/>
      <c r="R14" s="7"/>
      <c r="S14" s="7"/>
      <c r="T14" s="7"/>
      <c r="U14" s="7"/>
      <c r="V14" s="7"/>
    </row>
    <row r="15" spans="1:27" s="12" customFormat="1" ht="24" customHeight="1" x14ac:dyDescent="0.25">
      <c r="A15" s="7"/>
      <c r="B15" s="14"/>
      <c r="C15" s="17" t="s">
        <v>10</v>
      </c>
      <c r="D15" s="15"/>
      <c r="E15" s="14"/>
      <c r="F15" s="15"/>
      <c r="G15" s="15" t="s">
        <v>5</v>
      </c>
      <c r="H15" s="83"/>
      <c r="I15" s="172" t="s">
        <v>11</v>
      </c>
      <c r="J15" s="83"/>
      <c r="K15" s="16"/>
      <c r="L15" s="16"/>
      <c r="M15" s="10"/>
      <c r="N15" s="16"/>
      <c r="O15" s="16"/>
      <c r="P15" s="16"/>
      <c r="Q15" s="16"/>
      <c r="R15" s="14"/>
      <c r="S15" s="14"/>
      <c r="T15" s="14"/>
      <c r="U15" s="14"/>
      <c r="V15" s="14"/>
    </row>
    <row r="16" spans="1:27" ht="24" customHeight="1" x14ac:dyDescent="0.25">
      <c r="A16" s="7"/>
      <c r="B16" s="7"/>
      <c r="C16" s="82" t="s">
        <v>12</v>
      </c>
      <c r="D16" s="7"/>
      <c r="E16" s="7"/>
      <c r="F16" s="7"/>
      <c r="G16" s="7"/>
      <c r="H16" s="7"/>
      <c r="I16" s="7"/>
      <c r="J16" s="7"/>
      <c r="K16" s="7"/>
      <c r="L16" s="10"/>
      <c r="M16" s="10"/>
      <c r="N16" s="10"/>
      <c r="O16" s="10"/>
      <c r="P16" s="10"/>
      <c r="Q16" s="10"/>
      <c r="R16" s="7"/>
      <c r="S16" s="7"/>
      <c r="T16" s="7"/>
      <c r="U16" s="7"/>
      <c r="V16" s="7"/>
    </row>
    <row r="17" spans="1:22" s="12" customFormat="1" ht="24" customHeight="1" x14ac:dyDescent="0.25">
      <c r="A17" s="7"/>
      <c r="B17" s="7"/>
      <c r="C17" s="81"/>
      <c r="D17" s="13"/>
      <c r="E17" s="7"/>
      <c r="F17" s="7"/>
      <c r="G17" s="7"/>
      <c r="H17" s="7"/>
      <c r="I17" s="7"/>
      <c r="J17" s="7"/>
      <c r="K17" s="7"/>
      <c r="L17" s="318" t="s">
        <v>13</v>
      </c>
      <c r="M17" s="318"/>
      <c r="N17" s="318"/>
      <c r="O17" s="318"/>
      <c r="P17" s="318"/>
      <c r="Q17" s="318"/>
      <c r="R17" s="318"/>
      <c r="S17" s="318"/>
      <c r="T17" s="318"/>
      <c r="U17" s="318"/>
      <c r="V17" s="80"/>
    </row>
    <row r="18" spans="1:22" s="12" customFormat="1" ht="24" customHeight="1" x14ac:dyDescent="0.25">
      <c r="A18" s="7"/>
      <c r="B18" s="7"/>
      <c r="C18" s="7"/>
      <c r="D18" s="13"/>
      <c r="E18" s="7"/>
      <c r="F18" s="7"/>
      <c r="G18" s="7"/>
      <c r="H18" s="7"/>
      <c r="I18" s="7"/>
      <c r="J18" s="7"/>
      <c r="K18" s="7"/>
      <c r="L18" s="317" t="s">
        <v>14</v>
      </c>
      <c r="M18" s="317"/>
      <c r="N18" s="317"/>
      <c r="O18" s="317"/>
      <c r="P18" s="317"/>
      <c r="Q18" s="317"/>
      <c r="R18" s="317"/>
      <c r="S18" s="317"/>
      <c r="T18" s="317"/>
      <c r="U18" s="317"/>
      <c r="V18" s="238"/>
    </row>
    <row r="19" spans="1:22" ht="24" customHeight="1" x14ac:dyDescent="0.25">
      <c r="A19" s="7"/>
      <c r="B19" s="7"/>
      <c r="C19" s="7"/>
      <c r="D19" s="13"/>
      <c r="E19" s="7"/>
      <c r="F19" s="7"/>
      <c r="G19" s="7"/>
      <c r="H19" s="7"/>
      <c r="I19" s="7"/>
      <c r="J19" s="7"/>
      <c r="K19" s="7"/>
      <c r="L19" s="7"/>
      <c r="M19" s="7"/>
      <c r="N19" s="7"/>
      <c r="O19" s="7"/>
      <c r="P19" s="7"/>
      <c r="Q19" s="7"/>
      <c r="R19" s="7"/>
      <c r="S19" s="7"/>
      <c r="T19" s="7"/>
      <c r="U19" s="7"/>
      <c r="V19" s="7"/>
    </row>
    <row r="20" spans="1:22" s="12" customFormat="1" ht="24" customHeight="1" x14ac:dyDescent="0.25">
      <c r="A20" s="7"/>
      <c r="B20" s="7"/>
      <c r="C20" s="7"/>
      <c r="D20" s="13"/>
      <c r="E20" s="7"/>
      <c r="F20" s="7"/>
      <c r="G20" s="7"/>
      <c r="H20" s="7"/>
      <c r="I20" s="7"/>
      <c r="J20" s="7"/>
      <c r="K20" s="7"/>
      <c r="L20" s="17" t="s">
        <v>15</v>
      </c>
      <c r="M20" s="15"/>
      <c r="N20" s="14"/>
      <c r="O20" s="15" t="s">
        <v>5</v>
      </c>
      <c r="P20" s="319"/>
      <c r="Q20" s="319"/>
      <c r="R20" s="319"/>
      <c r="S20" s="319"/>
      <c r="T20" s="319"/>
      <c r="U20" s="319"/>
      <c r="V20" s="14"/>
    </row>
    <row r="21" spans="1:22" s="12" customFormat="1" ht="4.5" customHeight="1" x14ac:dyDescent="0.25">
      <c r="A21" s="7"/>
      <c r="B21" s="7"/>
      <c r="C21" s="7"/>
      <c r="D21" s="13"/>
      <c r="E21" s="7"/>
      <c r="F21" s="7"/>
      <c r="G21" s="7"/>
      <c r="H21" s="7"/>
      <c r="I21" s="7"/>
      <c r="J21" s="7"/>
      <c r="K21" s="7"/>
      <c r="L21" s="14"/>
      <c r="M21" s="15"/>
      <c r="N21" s="14"/>
      <c r="O21" s="15"/>
      <c r="P21" s="15"/>
      <c r="Q21" s="15"/>
      <c r="R21" s="15"/>
      <c r="S21" s="15"/>
      <c r="T21" s="15"/>
      <c r="U21" s="7"/>
      <c r="V21" s="14"/>
    </row>
    <row r="22" spans="1:22" s="12" customFormat="1" ht="24" customHeight="1" x14ac:dyDescent="0.25">
      <c r="A22" s="7"/>
      <c r="B22" s="7"/>
      <c r="C22" s="7"/>
      <c r="D22" s="13"/>
      <c r="E22" s="7"/>
      <c r="F22" s="7"/>
      <c r="G22" s="7"/>
      <c r="H22" s="7"/>
      <c r="I22" s="7"/>
      <c r="J22" s="7"/>
      <c r="K22" s="7"/>
      <c r="L22" s="17" t="s">
        <v>15</v>
      </c>
      <c r="M22" s="15"/>
      <c r="N22" s="14"/>
      <c r="O22" s="15" t="s">
        <v>5</v>
      </c>
      <c r="P22" s="319"/>
      <c r="Q22" s="319"/>
      <c r="R22" s="319"/>
      <c r="S22" s="319"/>
      <c r="T22" s="319"/>
      <c r="U22" s="319"/>
      <c r="V22" s="14"/>
    </row>
    <row r="23" spans="1:22" s="12" customFormat="1" ht="4.5" customHeight="1" x14ac:dyDescent="0.25">
      <c r="A23" s="7"/>
      <c r="B23" s="7"/>
      <c r="C23" s="7"/>
      <c r="D23" s="13"/>
      <c r="E23" s="7"/>
      <c r="F23" s="7"/>
      <c r="G23" s="7"/>
      <c r="H23" s="7"/>
      <c r="I23" s="7"/>
      <c r="J23" s="7"/>
      <c r="K23" s="7"/>
      <c r="L23" s="14"/>
      <c r="M23" s="15"/>
      <c r="N23" s="14"/>
      <c r="O23" s="15"/>
      <c r="P23" s="15"/>
      <c r="Q23" s="15"/>
      <c r="R23" s="15"/>
      <c r="S23" s="15"/>
      <c r="T23" s="15"/>
      <c r="U23" s="7"/>
      <c r="V23" s="14"/>
    </row>
    <row r="24" spans="1:22" s="12" customFormat="1" ht="24" customHeight="1" x14ac:dyDescent="0.25">
      <c r="A24" s="7"/>
      <c r="B24" s="82"/>
      <c r="C24" s="7"/>
      <c r="D24" s="13"/>
      <c r="E24" s="7"/>
      <c r="F24" s="7"/>
      <c r="G24" s="7"/>
      <c r="H24" s="7"/>
      <c r="I24" s="7"/>
      <c r="J24" s="7"/>
      <c r="K24" s="7"/>
      <c r="L24" s="17" t="s">
        <v>16</v>
      </c>
      <c r="M24" s="15"/>
      <c r="N24" s="14"/>
      <c r="O24" s="15" t="s">
        <v>5</v>
      </c>
      <c r="P24" s="319"/>
      <c r="Q24" s="319"/>
      <c r="R24" s="319"/>
      <c r="S24" s="319"/>
      <c r="T24" s="7"/>
      <c r="U24" s="7"/>
      <c r="V24" s="14"/>
    </row>
    <row r="25" spans="1:22" ht="4.5" customHeight="1" x14ac:dyDescent="0.25">
      <c r="A25" s="7"/>
      <c r="B25" s="7"/>
      <c r="C25" s="7"/>
      <c r="D25" s="13"/>
      <c r="E25" s="7"/>
      <c r="F25" s="7"/>
      <c r="G25" s="7"/>
      <c r="H25" s="7"/>
      <c r="I25" s="7"/>
      <c r="J25" s="7"/>
      <c r="K25" s="7"/>
      <c r="L25" s="14"/>
      <c r="M25" s="15"/>
      <c r="N25" s="14"/>
      <c r="O25" s="15"/>
      <c r="P25" s="15"/>
      <c r="Q25" s="15"/>
      <c r="R25" s="15"/>
      <c r="S25" s="15"/>
      <c r="T25" s="7"/>
      <c r="U25" s="7"/>
      <c r="V25" s="7"/>
    </row>
    <row r="26" spans="1:22" ht="24" customHeight="1" x14ac:dyDescent="0.25">
      <c r="A26" s="7"/>
      <c r="B26" s="19" t="s">
        <v>17</v>
      </c>
      <c r="C26" s="20" t="s">
        <v>18</v>
      </c>
      <c r="D26" s="13"/>
      <c r="E26" s="7"/>
      <c r="F26" s="7"/>
      <c r="G26" s="7"/>
      <c r="H26" s="7"/>
      <c r="I26" s="7"/>
      <c r="J26" s="7"/>
      <c r="K26" s="7"/>
      <c r="L26" s="17" t="s">
        <v>19</v>
      </c>
      <c r="M26" s="15"/>
      <c r="N26" s="14"/>
      <c r="O26" s="15" t="s">
        <v>5</v>
      </c>
      <c r="P26" s="320"/>
      <c r="Q26" s="320"/>
      <c r="R26" s="320"/>
      <c r="S26" s="7"/>
      <c r="T26" s="7"/>
      <c r="U26" s="7"/>
      <c r="V26" s="7"/>
    </row>
    <row r="27" spans="1:22" ht="15" customHeight="1" x14ac:dyDescent="0.25">
      <c r="A27" s="7"/>
      <c r="B27" s="18"/>
      <c r="C27" s="7"/>
      <c r="D27" s="7"/>
      <c r="E27" s="7"/>
      <c r="F27" s="7"/>
      <c r="G27" s="7"/>
      <c r="H27" s="7"/>
      <c r="I27" s="7"/>
      <c r="J27" s="7"/>
      <c r="K27" s="7"/>
      <c r="L27" s="7"/>
      <c r="M27" s="7"/>
      <c r="N27" s="7"/>
      <c r="O27" s="7"/>
      <c r="P27" s="7"/>
      <c r="Q27" s="7"/>
      <c r="R27" s="7"/>
      <c r="S27" s="7"/>
      <c r="T27" s="7"/>
      <c r="U27" s="7"/>
      <c r="V27" s="7"/>
    </row>
  </sheetData>
  <sheetProtection formatCells="0" formatColumns="0" formatRows="0" insertColumns="0" insertRows="0" insertHyperlinks="0" deleteColumns="0" deleteRows="0" sort="0" autoFilter="0" pivotTables="0"/>
  <mergeCells count="12">
    <mergeCell ref="L18:U18"/>
    <mergeCell ref="L17:U17"/>
    <mergeCell ref="P24:S24"/>
    <mergeCell ref="P26:R26"/>
    <mergeCell ref="A2:V2"/>
    <mergeCell ref="A3:V3"/>
    <mergeCell ref="P20:U20"/>
    <mergeCell ref="H7:U7"/>
    <mergeCell ref="A5:V5"/>
    <mergeCell ref="H9:R9"/>
    <mergeCell ref="H11:R11"/>
    <mergeCell ref="P22:U22"/>
  </mergeCells>
  <dataValidations count="4">
    <dataValidation type="list" allowBlank="1" showInputMessage="1" showErrorMessage="1" sqref="H10">
      <formula1>#REF!</formula1>
    </dataValidation>
    <dataValidation type="list" allowBlank="1" showInputMessage="1" showErrorMessage="1" sqref="I10">
      <formula1>#REF!</formula1>
    </dataValidation>
    <dataValidation type="list" allowBlank="1" showInputMessage="1" showErrorMessage="1" sqref="J10">
      <formula1>#REF!</formula1>
    </dataValidation>
    <dataValidation type="list" allowBlank="1" showInputMessage="1" showErrorMessage="1" sqref="K10">
      <formula1>#REF!</formula1>
    </dataValidation>
  </dataValidation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68"/>
  <sheetViews>
    <sheetView zoomScale="90" zoomScaleNormal="90" workbookViewId="0">
      <pane xSplit="1" ySplit="6" topLeftCell="B7" activePane="bottomRight" state="frozen"/>
      <selection pane="topRight"/>
      <selection pane="bottomLeft"/>
      <selection pane="bottomRight" activeCell="E596" sqref="E596"/>
    </sheetView>
  </sheetViews>
  <sheetFormatPr defaultColWidth="9.140625" defaultRowHeight="15" x14ac:dyDescent="0.25"/>
  <cols>
    <col min="1" max="1" width="6.42578125" style="140" customWidth="1"/>
    <col min="2" max="2" width="12.42578125" style="140" customWidth="1"/>
    <col min="3" max="3" width="5.140625" style="8" customWidth="1"/>
    <col min="4" max="4" width="58.7109375" style="74" customWidth="1"/>
    <col min="5" max="5" width="15.7109375" style="8" customWidth="1"/>
    <col min="6" max="6" width="8.42578125" style="8" customWidth="1"/>
    <col min="7" max="7" width="4.7109375" style="8" customWidth="1"/>
    <col min="8" max="8" width="60.42578125" style="5" customWidth="1"/>
    <col min="9" max="9" width="9.140625" style="8"/>
  </cols>
  <sheetData>
    <row r="1" spans="1:8" ht="15.95" customHeight="1" x14ac:dyDescent="0.25">
      <c r="A1" s="402" t="s">
        <v>20</v>
      </c>
      <c r="B1" s="402"/>
      <c r="C1" s="402"/>
      <c r="D1" s="402"/>
      <c r="E1" s="402"/>
      <c r="F1" s="402"/>
      <c r="H1" s="8"/>
    </row>
    <row r="2" spans="1:8" ht="15.95" customHeight="1" x14ac:dyDescent="0.25">
      <c r="A2" s="402" t="s">
        <v>3</v>
      </c>
      <c r="B2" s="402"/>
      <c r="C2" s="402"/>
      <c r="D2" s="402"/>
      <c r="E2" s="402"/>
      <c r="F2" s="402"/>
      <c r="H2" s="8"/>
    </row>
    <row r="3" spans="1:8" s="115" customFormat="1" ht="15.95" customHeight="1" x14ac:dyDescent="0.25">
      <c r="A3" s="173"/>
      <c r="B3" s="173"/>
      <c r="C3" s="173"/>
      <c r="D3" s="173"/>
      <c r="E3" s="173"/>
      <c r="F3" s="173"/>
    </row>
    <row r="4" spans="1:8" ht="15.95" customHeight="1" x14ac:dyDescent="0.25">
      <c r="A4" s="174" t="s">
        <v>21</v>
      </c>
      <c r="B4" s="174"/>
      <c r="C4" s="174"/>
      <c r="D4" s="174"/>
      <c r="E4" s="174"/>
      <c r="F4" s="174"/>
      <c r="H4" s="8"/>
    </row>
    <row r="5" spans="1:8" ht="15.95" customHeight="1" x14ac:dyDescent="0.25">
      <c r="A5" s="175"/>
      <c r="B5" s="176"/>
      <c r="C5" s="176"/>
      <c r="D5" s="177"/>
      <c r="E5" s="176"/>
      <c r="F5" s="176"/>
      <c r="G5" s="176"/>
      <c r="H5" s="176"/>
    </row>
    <row r="6" spans="1:8" ht="33" customHeight="1" x14ac:dyDescent="0.25">
      <c r="A6" s="50" t="s">
        <v>22</v>
      </c>
      <c r="B6" s="51" t="s">
        <v>23</v>
      </c>
      <c r="C6" s="403" t="s">
        <v>24</v>
      </c>
      <c r="D6" s="404"/>
      <c r="E6" s="52" t="s">
        <v>25</v>
      </c>
      <c r="H6" s="53" t="s">
        <v>26</v>
      </c>
    </row>
    <row r="7" spans="1:8" ht="48" customHeight="1" x14ac:dyDescent="0.25">
      <c r="A7" s="329">
        <v>1</v>
      </c>
      <c r="B7" s="332" t="s">
        <v>27</v>
      </c>
      <c r="C7" s="335" t="s">
        <v>28</v>
      </c>
      <c r="D7" s="336"/>
      <c r="E7" s="21"/>
      <c r="F7" s="8" t="str">
        <f>IF(OR(ISBLANK(E7),E7&gt;4),"Salah isi","judge")</f>
        <v>Salah isi</v>
      </c>
      <c r="H7" s="210"/>
    </row>
    <row r="8" spans="1:8" ht="159.94999999999999" customHeight="1" x14ac:dyDescent="0.25">
      <c r="A8" s="330"/>
      <c r="B8" s="333"/>
      <c r="C8" s="22">
        <v>4</v>
      </c>
      <c r="D8" s="63" t="s">
        <v>29</v>
      </c>
      <c r="E8" s="23"/>
      <c r="H8" s="29"/>
    </row>
    <row r="9" spans="1:8" ht="111.95" customHeight="1" x14ac:dyDescent="0.25">
      <c r="A9" s="330"/>
      <c r="B9" s="333"/>
      <c r="C9" s="22">
        <v>3</v>
      </c>
      <c r="D9" s="63" t="s">
        <v>30</v>
      </c>
      <c r="E9" s="23"/>
      <c r="H9" s="29"/>
    </row>
    <row r="10" spans="1:8" ht="48" customHeight="1" x14ac:dyDescent="0.25">
      <c r="A10" s="330"/>
      <c r="B10" s="333"/>
      <c r="C10" s="22">
        <v>2</v>
      </c>
      <c r="D10" s="63" t="s">
        <v>31</v>
      </c>
      <c r="E10" s="23"/>
      <c r="H10" s="29"/>
    </row>
    <row r="11" spans="1:8" ht="48" customHeight="1" x14ac:dyDescent="0.25">
      <c r="A11" s="330"/>
      <c r="B11" s="333"/>
      <c r="C11" s="22">
        <v>1</v>
      </c>
      <c r="D11" s="63" t="s">
        <v>32</v>
      </c>
      <c r="E11" s="23"/>
      <c r="H11" s="29"/>
    </row>
    <row r="12" spans="1:8" ht="48" customHeight="1" x14ac:dyDescent="0.25">
      <c r="A12" s="330"/>
      <c r="B12" s="333"/>
      <c r="C12" s="22">
        <v>0</v>
      </c>
      <c r="D12" s="63" t="s">
        <v>33</v>
      </c>
      <c r="E12" s="24"/>
      <c r="H12" s="29"/>
    </row>
    <row r="13" spans="1:8" ht="15" customHeight="1" x14ac:dyDescent="0.25">
      <c r="A13" s="331"/>
      <c r="B13" s="334"/>
      <c r="C13" s="337" t="s">
        <v>34</v>
      </c>
      <c r="D13" s="338"/>
      <c r="E13" s="25">
        <f>IF(F7="Salah isi",0,E7)</f>
        <v>0</v>
      </c>
      <c r="H13" s="29"/>
    </row>
    <row r="14" spans="1:8" ht="15" customHeight="1" x14ac:dyDescent="0.25">
      <c r="A14" s="26"/>
      <c r="B14" s="26"/>
      <c r="C14" s="27"/>
      <c r="D14" s="64"/>
      <c r="E14" s="28"/>
      <c r="H14" s="29"/>
    </row>
    <row r="15" spans="1:8" ht="79.349999999999994" customHeight="1" x14ac:dyDescent="0.25">
      <c r="A15" s="329">
        <v>2</v>
      </c>
      <c r="B15" s="332" t="s">
        <v>35</v>
      </c>
      <c r="C15" s="335" t="s">
        <v>36</v>
      </c>
      <c r="D15" s="336"/>
      <c r="E15" s="21"/>
      <c r="F15" s="8" t="str">
        <f>IF(OR(ISBLANK(E15),E15&gt;4),"Salah isi","judge")</f>
        <v>Salah isi</v>
      </c>
      <c r="H15" s="210"/>
    </row>
    <row r="16" spans="1:8" ht="128.1" customHeight="1" x14ac:dyDescent="0.25">
      <c r="A16" s="330"/>
      <c r="B16" s="333"/>
      <c r="C16" s="22">
        <v>4</v>
      </c>
      <c r="D16" s="65" t="s">
        <v>37</v>
      </c>
      <c r="E16" s="23"/>
      <c r="H16" s="29"/>
    </row>
    <row r="17" spans="1:8" ht="111.95" customHeight="1" x14ac:dyDescent="0.25">
      <c r="A17" s="330"/>
      <c r="B17" s="333"/>
      <c r="C17" s="22">
        <v>3</v>
      </c>
      <c r="D17" s="66" t="s">
        <v>38</v>
      </c>
      <c r="E17" s="23"/>
      <c r="H17" s="29"/>
    </row>
    <row r="18" spans="1:8" ht="63.95" customHeight="1" x14ac:dyDescent="0.25">
      <c r="A18" s="330"/>
      <c r="B18" s="333"/>
      <c r="C18" s="22">
        <v>2</v>
      </c>
      <c r="D18" s="66" t="s">
        <v>39</v>
      </c>
      <c r="E18" s="23"/>
      <c r="H18" s="29"/>
    </row>
    <row r="19" spans="1:8" ht="80.099999999999994" customHeight="1" x14ac:dyDescent="0.25">
      <c r="A19" s="330"/>
      <c r="B19" s="333"/>
      <c r="C19" s="22">
        <v>1</v>
      </c>
      <c r="D19" s="66" t="s">
        <v>40</v>
      </c>
      <c r="E19" s="23"/>
      <c r="H19" s="29"/>
    </row>
    <row r="20" spans="1:8" ht="48" customHeight="1" x14ac:dyDescent="0.25">
      <c r="A20" s="330"/>
      <c r="B20" s="333"/>
      <c r="C20" s="22">
        <v>0</v>
      </c>
      <c r="D20" s="66" t="s">
        <v>41</v>
      </c>
      <c r="E20" s="24"/>
      <c r="H20" s="29"/>
    </row>
    <row r="21" spans="1:8" ht="15" customHeight="1" x14ac:dyDescent="0.25">
      <c r="A21" s="331"/>
      <c r="B21" s="334"/>
      <c r="C21" s="337" t="s">
        <v>34</v>
      </c>
      <c r="D21" s="338"/>
      <c r="E21" s="25">
        <f>IF(F15="Salah isi",0,E15)</f>
        <v>0</v>
      </c>
      <c r="H21" s="29"/>
    </row>
    <row r="22" spans="1:8" ht="15" customHeight="1" x14ac:dyDescent="0.25">
      <c r="A22" s="26"/>
      <c r="B22" s="26"/>
      <c r="C22" s="27"/>
      <c r="D22" s="64"/>
      <c r="E22" s="28"/>
      <c r="H22" s="29"/>
    </row>
    <row r="23" spans="1:8" ht="50.25" customHeight="1" x14ac:dyDescent="0.25">
      <c r="A23" s="329">
        <v>3</v>
      </c>
      <c r="B23" s="343" t="s">
        <v>42</v>
      </c>
      <c r="C23" s="335" t="s">
        <v>43</v>
      </c>
      <c r="D23" s="336"/>
      <c r="E23" s="21"/>
      <c r="F23" s="8" t="str">
        <f>IF(OR(ISBLANK(E23),E23&gt;4),"Salah isi","judge")</f>
        <v>Salah isi</v>
      </c>
      <c r="H23" s="210"/>
    </row>
    <row r="24" spans="1:8" ht="111.95" customHeight="1" x14ac:dyDescent="0.25">
      <c r="A24" s="330"/>
      <c r="B24" s="344"/>
      <c r="C24" s="22">
        <v>4</v>
      </c>
      <c r="D24" s="67" t="s">
        <v>44</v>
      </c>
      <c r="E24" s="23"/>
      <c r="H24" s="29"/>
    </row>
    <row r="25" spans="1:8" ht="96" customHeight="1" x14ac:dyDescent="0.25">
      <c r="A25" s="330"/>
      <c r="B25" s="344"/>
      <c r="C25" s="22">
        <v>3</v>
      </c>
      <c r="D25" s="62" t="s">
        <v>45</v>
      </c>
      <c r="E25" s="23"/>
      <c r="H25" s="29"/>
    </row>
    <row r="26" spans="1:8" ht="80.099999999999994" customHeight="1" x14ac:dyDescent="0.25">
      <c r="A26" s="330"/>
      <c r="B26" s="344"/>
      <c r="C26" s="22">
        <v>2</v>
      </c>
      <c r="D26" s="62" t="s">
        <v>46</v>
      </c>
      <c r="E26" s="23"/>
      <c r="H26" s="29"/>
    </row>
    <row r="27" spans="1:8" ht="96" customHeight="1" x14ac:dyDescent="0.25">
      <c r="A27" s="330"/>
      <c r="B27" s="344"/>
      <c r="C27" s="22">
        <v>1</v>
      </c>
      <c r="D27" s="62" t="s">
        <v>47</v>
      </c>
      <c r="E27" s="23"/>
      <c r="H27" s="29"/>
    </row>
    <row r="28" spans="1:8" ht="32.1" customHeight="1" x14ac:dyDescent="0.25">
      <c r="A28" s="330"/>
      <c r="B28" s="344"/>
      <c r="C28" s="22">
        <v>0</v>
      </c>
      <c r="D28" s="62" t="s">
        <v>48</v>
      </c>
      <c r="E28" s="24"/>
      <c r="H28" s="29"/>
    </row>
    <row r="29" spans="1:8" ht="15" customHeight="1" x14ac:dyDescent="0.25">
      <c r="A29" s="331"/>
      <c r="B29" s="345"/>
      <c r="C29" s="337" t="s">
        <v>34</v>
      </c>
      <c r="D29" s="338"/>
      <c r="E29" s="25">
        <f>IF(F23="Salah isi",0,E23)</f>
        <v>0</v>
      </c>
      <c r="H29" s="29"/>
    </row>
    <row r="30" spans="1:8" ht="15" customHeight="1" x14ac:dyDescent="0.25">
      <c r="A30" s="26"/>
      <c r="B30" s="26"/>
      <c r="C30" s="27"/>
      <c r="D30" s="64"/>
      <c r="E30" s="28"/>
      <c r="H30" s="29"/>
    </row>
    <row r="31" spans="1:8" ht="50.25" customHeight="1" x14ac:dyDescent="0.25">
      <c r="A31" s="329">
        <v>4</v>
      </c>
      <c r="B31" s="343"/>
      <c r="C31" s="335" t="s">
        <v>49</v>
      </c>
      <c r="D31" s="336"/>
      <c r="E31" s="21"/>
      <c r="F31" s="8" t="str">
        <f>IF(OR(ISBLANK(E31),E31&gt;4),"Salah isi","judge")</f>
        <v>Salah isi</v>
      </c>
      <c r="H31" s="210"/>
    </row>
    <row r="32" spans="1:8" ht="80.099999999999994" customHeight="1" x14ac:dyDescent="0.25">
      <c r="A32" s="330"/>
      <c r="B32" s="344"/>
      <c r="C32" s="22">
        <v>4</v>
      </c>
      <c r="D32" s="67" t="s">
        <v>50</v>
      </c>
      <c r="E32" s="23"/>
      <c r="H32" s="29"/>
    </row>
    <row r="33" spans="1:8" ht="63.95" customHeight="1" x14ac:dyDescent="0.25">
      <c r="A33" s="330"/>
      <c r="B33" s="344"/>
      <c r="C33" s="22">
        <v>3</v>
      </c>
      <c r="D33" s="62" t="s">
        <v>51</v>
      </c>
      <c r="E33" s="23"/>
      <c r="H33" s="29"/>
    </row>
    <row r="34" spans="1:8" ht="63.95" customHeight="1" x14ac:dyDescent="0.25">
      <c r="A34" s="330"/>
      <c r="B34" s="344"/>
      <c r="C34" s="22">
        <v>2</v>
      </c>
      <c r="D34" s="62" t="s">
        <v>52</v>
      </c>
      <c r="E34" s="23"/>
      <c r="H34" s="29"/>
    </row>
    <row r="35" spans="1:8" ht="48" customHeight="1" x14ac:dyDescent="0.25">
      <c r="A35" s="330"/>
      <c r="B35" s="344"/>
      <c r="C35" s="22">
        <v>1</v>
      </c>
      <c r="D35" s="62" t="s">
        <v>53</v>
      </c>
      <c r="E35" s="23"/>
      <c r="H35" s="29"/>
    </row>
    <row r="36" spans="1:8" ht="32.1" customHeight="1" x14ac:dyDescent="0.25">
      <c r="A36" s="330"/>
      <c r="B36" s="344"/>
      <c r="C36" s="22">
        <v>0</v>
      </c>
      <c r="D36" s="62" t="s">
        <v>54</v>
      </c>
      <c r="E36" s="24"/>
      <c r="H36" s="29"/>
    </row>
    <row r="37" spans="1:8" ht="15" customHeight="1" x14ac:dyDescent="0.25">
      <c r="A37" s="331"/>
      <c r="B37" s="345"/>
      <c r="C37" s="337" t="s">
        <v>34</v>
      </c>
      <c r="D37" s="338"/>
      <c r="E37" s="25">
        <f>IF(F31="Salah isi",0,E31)</f>
        <v>0</v>
      </c>
      <c r="H37" s="29"/>
    </row>
    <row r="38" spans="1:8" ht="15" customHeight="1" x14ac:dyDescent="0.25">
      <c r="A38" s="26"/>
      <c r="B38" s="26"/>
      <c r="C38" s="27"/>
      <c r="D38" s="64"/>
      <c r="E38" s="28"/>
      <c r="H38" s="29"/>
    </row>
    <row r="39" spans="1:8" ht="50.25" customHeight="1" x14ac:dyDescent="0.25">
      <c r="A39" s="329">
        <v>5</v>
      </c>
      <c r="B39" s="343"/>
      <c r="C39" s="335" t="s">
        <v>55</v>
      </c>
      <c r="D39" s="336"/>
      <c r="E39" s="21"/>
      <c r="F39" s="8" t="str">
        <f>IF(OR(ISBLANK(E39),E39&gt;4),"Salah isi","judge")</f>
        <v>Salah isi</v>
      </c>
      <c r="H39" s="210"/>
    </row>
    <row r="40" spans="1:8" ht="63.95" customHeight="1" x14ac:dyDescent="0.25">
      <c r="A40" s="330"/>
      <c r="B40" s="344"/>
      <c r="C40" s="22">
        <v>4</v>
      </c>
      <c r="D40" s="67" t="s">
        <v>56</v>
      </c>
      <c r="E40" s="23"/>
      <c r="H40" s="29"/>
    </row>
    <row r="41" spans="1:8" ht="63.95" customHeight="1" x14ac:dyDescent="0.25">
      <c r="A41" s="330"/>
      <c r="B41" s="344"/>
      <c r="C41" s="22">
        <v>3</v>
      </c>
      <c r="D41" s="62" t="s">
        <v>57</v>
      </c>
      <c r="E41" s="23"/>
      <c r="H41" s="29"/>
    </row>
    <row r="42" spans="1:8" ht="48" customHeight="1" x14ac:dyDescent="0.25">
      <c r="A42" s="330"/>
      <c r="B42" s="344"/>
      <c r="C42" s="22">
        <v>2</v>
      </c>
      <c r="D42" s="62" t="s">
        <v>58</v>
      </c>
      <c r="E42" s="23"/>
      <c r="H42" s="29"/>
    </row>
    <row r="43" spans="1:8" ht="32.1" customHeight="1" x14ac:dyDescent="0.25">
      <c r="A43" s="330"/>
      <c r="B43" s="344"/>
      <c r="C43" s="22">
        <v>1</v>
      </c>
      <c r="D43" s="62" t="s">
        <v>59</v>
      </c>
      <c r="E43" s="23"/>
      <c r="H43" s="29"/>
    </row>
    <row r="44" spans="1:8" ht="15.95" customHeight="1" x14ac:dyDescent="0.25">
      <c r="A44" s="330"/>
      <c r="B44" s="344"/>
      <c r="C44" s="22">
        <v>0</v>
      </c>
      <c r="D44" s="62" t="s">
        <v>60</v>
      </c>
      <c r="E44" s="24"/>
      <c r="H44" s="29"/>
    </row>
    <row r="45" spans="1:8" ht="15" customHeight="1" x14ac:dyDescent="0.25">
      <c r="A45" s="331"/>
      <c r="B45" s="345"/>
      <c r="C45" s="337" t="s">
        <v>34</v>
      </c>
      <c r="D45" s="338"/>
      <c r="E45" s="25">
        <f>IF(F39="Salah isi",0,E39)</f>
        <v>0</v>
      </c>
      <c r="H45" s="29"/>
    </row>
    <row r="46" spans="1:8" ht="15" customHeight="1" x14ac:dyDescent="0.25">
      <c r="A46" s="26"/>
      <c r="B46" s="26"/>
      <c r="C46" s="27"/>
      <c r="D46" s="64"/>
      <c r="E46" s="28"/>
      <c r="H46" s="29"/>
    </row>
    <row r="47" spans="1:8" ht="50.25" customHeight="1" x14ac:dyDescent="0.25">
      <c r="A47" s="329">
        <v>6</v>
      </c>
      <c r="B47" s="343" t="s">
        <v>61</v>
      </c>
      <c r="C47" s="335" t="s">
        <v>62</v>
      </c>
      <c r="D47" s="369"/>
      <c r="E47" s="21"/>
      <c r="F47" s="8" t="str">
        <f>IF(OR(ISBLANK(E47),E47&gt;4),"Salah isi","judge")</f>
        <v>Salah isi</v>
      </c>
      <c r="H47" s="210"/>
    </row>
    <row r="48" spans="1:8" ht="48" customHeight="1" x14ac:dyDescent="0.25">
      <c r="A48" s="330"/>
      <c r="B48" s="344"/>
      <c r="C48" s="30">
        <v>4</v>
      </c>
      <c r="D48" s="68" t="s">
        <v>63</v>
      </c>
      <c r="E48" s="31"/>
      <c r="H48" s="29"/>
    </row>
    <row r="49" spans="1:8" ht="48" customHeight="1" x14ac:dyDescent="0.25">
      <c r="A49" s="330"/>
      <c r="B49" s="344"/>
      <c r="C49" s="30">
        <v>3</v>
      </c>
      <c r="D49" s="68" t="s">
        <v>64</v>
      </c>
      <c r="E49" s="31"/>
      <c r="H49" s="29"/>
    </row>
    <row r="50" spans="1:8" ht="32.1" customHeight="1" x14ac:dyDescent="0.25">
      <c r="A50" s="330"/>
      <c r="B50" s="344"/>
      <c r="C50" s="30">
        <v>2</v>
      </c>
      <c r="D50" s="68" t="s">
        <v>65</v>
      </c>
      <c r="E50" s="31"/>
      <c r="H50" s="29"/>
    </row>
    <row r="51" spans="1:8" ht="32.1" customHeight="1" x14ac:dyDescent="0.25">
      <c r="A51" s="330"/>
      <c r="B51" s="344"/>
      <c r="C51" s="30">
        <v>1</v>
      </c>
      <c r="D51" s="68" t="s">
        <v>66</v>
      </c>
      <c r="E51" s="31"/>
      <c r="H51" s="29"/>
    </row>
    <row r="52" spans="1:8" ht="15.95" customHeight="1" x14ac:dyDescent="0.25">
      <c r="A52" s="330"/>
      <c r="B52" s="344"/>
      <c r="C52" s="30">
        <v>0</v>
      </c>
      <c r="D52" s="68" t="s">
        <v>67</v>
      </c>
      <c r="E52" s="32"/>
      <c r="H52" s="29"/>
    </row>
    <row r="53" spans="1:8" ht="50.25" customHeight="1" x14ac:dyDescent="0.25">
      <c r="A53" s="330"/>
      <c r="B53" s="344"/>
      <c r="C53" s="401" t="s">
        <v>68</v>
      </c>
      <c r="D53" s="370"/>
      <c r="E53" s="33"/>
      <c r="F53" s="8" t="str">
        <f>IF(OR(ISBLANK(E53),E53&lt;1,E53&gt;4),"Salah isi","judge")</f>
        <v>Salah isi</v>
      </c>
      <c r="H53" s="29"/>
    </row>
    <row r="54" spans="1:8" ht="48" customHeight="1" x14ac:dyDescent="0.25">
      <c r="A54" s="330"/>
      <c r="B54" s="344"/>
      <c r="C54" s="30">
        <v>4</v>
      </c>
      <c r="D54" s="68" t="s">
        <v>69</v>
      </c>
      <c r="E54" s="31"/>
      <c r="H54" s="29"/>
    </row>
    <row r="55" spans="1:8" ht="48" customHeight="1" x14ac:dyDescent="0.25">
      <c r="A55" s="330"/>
      <c r="B55" s="344"/>
      <c r="C55" s="30">
        <v>3</v>
      </c>
      <c r="D55" s="68" t="s">
        <v>70</v>
      </c>
      <c r="E55" s="31"/>
      <c r="H55" s="29"/>
    </row>
    <row r="56" spans="1:8" ht="48" customHeight="1" x14ac:dyDescent="0.25">
      <c r="A56" s="330"/>
      <c r="B56" s="344"/>
      <c r="C56" s="30">
        <v>2</v>
      </c>
      <c r="D56" s="68" t="s">
        <v>71</v>
      </c>
      <c r="E56" s="31"/>
      <c r="H56" s="29"/>
    </row>
    <row r="57" spans="1:8" ht="48" customHeight="1" x14ac:dyDescent="0.25">
      <c r="A57" s="330"/>
      <c r="B57" s="344"/>
      <c r="C57" s="30">
        <v>1</v>
      </c>
      <c r="D57" s="68" t="s">
        <v>72</v>
      </c>
      <c r="E57" s="31"/>
      <c r="H57" s="29"/>
    </row>
    <row r="58" spans="1:8" ht="15.95" customHeight="1" x14ac:dyDescent="0.25">
      <c r="A58" s="330"/>
      <c r="B58" s="344"/>
      <c r="C58" s="30">
        <v>0</v>
      </c>
      <c r="D58" s="68" t="s">
        <v>73</v>
      </c>
      <c r="E58" s="32"/>
      <c r="H58" s="29"/>
    </row>
    <row r="59" spans="1:8" ht="15" customHeight="1" x14ac:dyDescent="0.25">
      <c r="A59" s="331"/>
      <c r="B59" s="345"/>
      <c r="C59" s="337" t="s">
        <v>74</v>
      </c>
      <c r="D59" s="375"/>
      <c r="E59" s="25">
        <f>IF(OR(F47="Salah isi",F53="Salah isi"),0,(E47+2*E53)/3)</f>
        <v>0</v>
      </c>
      <c r="H59" s="29"/>
    </row>
    <row r="60" spans="1:8" ht="15" customHeight="1" x14ac:dyDescent="0.25">
      <c r="A60" s="26"/>
      <c r="B60" s="26"/>
      <c r="C60" s="27"/>
      <c r="D60" s="64"/>
      <c r="E60" s="28"/>
      <c r="H60" s="29"/>
    </row>
    <row r="61" spans="1:8" ht="35.1" customHeight="1" x14ac:dyDescent="0.25">
      <c r="A61" s="329">
        <v>7</v>
      </c>
      <c r="B61" s="343" t="s">
        <v>75</v>
      </c>
      <c r="C61" s="335" t="s">
        <v>76</v>
      </c>
      <c r="D61" s="369"/>
      <c r="E61" s="21"/>
      <c r="F61" s="8" t="str">
        <f>IF(OR(ISBLANK(E61),E61&lt;2,E61&gt;4),"Salah isi","judge")</f>
        <v>Salah isi</v>
      </c>
      <c r="H61" s="210"/>
    </row>
    <row r="62" spans="1:8" ht="32.1" customHeight="1" x14ac:dyDescent="0.25">
      <c r="A62" s="330"/>
      <c r="B62" s="344"/>
      <c r="C62" s="30">
        <v>4</v>
      </c>
      <c r="D62" s="63" t="s">
        <v>77</v>
      </c>
      <c r="E62" s="31"/>
      <c r="H62" s="29"/>
    </row>
    <row r="63" spans="1:8" ht="32.1" customHeight="1" x14ac:dyDescent="0.25">
      <c r="A63" s="330"/>
      <c r="B63" s="344"/>
      <c r="C63" s="30">
        <v>3</v>
      </c>
      <c r="D63" s="63" t="s">
        <v>78</v>
      </c>
      <c r="E63" s="31"/>
      <c r="H63" s="29"/>
    </row>
    <row r="64" spans="1:8" ht="48" customHeight="1" x14ac:dyDescent="0.25">
      <c r="A64" s="330"/>
      <c r="B64" s="344"/>
      <c r="C64" s="30">
        <v>2</v>
      </c>
      <c r="D64" s="63" t="s">
        <v>79</v>
      </c>
      <c r="E64" s="31"/>
      <c r="H64" s="29"/>
    </row>
    <row r="65" spans="1:8" x14ac:dyDescent="0.25">
      <c r="A65" s="330"/>
      <c r="B65" s="344"/>
      <c r="C65" s="30">
        <v>1</v>
      </c>
      <c r="D65" s="407" t="s">
        <v>80</v>
      </c>
      <c r="E65" s="405"/>
      <c r="H65" s="29"/>
    </row>
    <row r="66" spans="1:8" x14ac:dyDescent="0.25">
      <c r="A66" s="330"/>
      <c r="B66" s="344"/>
      <c r="C66" s="30">
        <v>0</v>
      </c>
      <c r="D66" s="408"/>
      <c r="E66" s="406"/>
      <c r="H66" s="29"/>
    </row>
    <row r="67" spans="1:8" ht="59.45" customHeight="1" x14ac:dyDescent="0.25">
      <c r="A67" s="330"/>
      <c r="B67" s="344"/>
      <c r="C67" s="401" t="s">
        <v>81</v>
      </c>
      <c r="D67" s="370"/>
      <c r="E67" s="33"/>
      <c r="F67" s="8" t="str">
        <f>IF(OR(ISBLANK(E67),E67&lt;1,E67&gt;4),"Salah isi","judge")</f>
        <v>Salah isi</v>
      </c>
      <c r="H67" s="29"/>
    </row>
    <row r="68" spans="1:8" ht="80.099999999999994" customHeight="1" x14ac:dyDescent="0.25">
      <c r="A68" s="330"/>
      <c r="B68" s="344"/>
      <c r="C68" s="30">
        <v>4</v>
      </c>
      <c r="D68" s="63" t="s">
        <v>82</v>
      </c>
      <c r="E68" s="31"/>
      <c r="H68" s="29"/>
    </row>
    <row r="69" spans="1:8" ht="63.95" customHeight="1" x14ac:dyDescent="0.25">
      <c r="A69" s="330"/>
      <c r="B69" s="344"/>
      <c r="C69" s="30">
        <v>3</v>
      </c>
      <c r="D69" s="63" t="s">
        <v>83</v>
      </c>
      <c r="E69" s="31"/>
      <c r="H69" s="29"/>
    </row>
    <row r="70" spans="1:8" ht="15.95" customHeight="1" x14ac:dyDescent="0.25">
      <c r="A70" s="330"/>
      <c r="B70" s="344"/>
      <c r="C70" s="30">
        <v>2</v>
      </c>
      <c r="D70" s="63" t="s">
        <v>84</v>
      </c>
      <c r="E70" s="31"/>
      <c r="H70" s="29"/>
    </row>
    <row r="71" spans="1:8" ht="15.95" customHeight="1" x14ac:dyDescent="0.25">
      <c r="A71" s="330"/>
      <c r="B71" s="344"/>
      <c r="C71" s="30">
        <v>1</v>
      </c>
      <c r="D71" s="63" t="s">
        <v>85</v>
      </c>
      <c r="E71" s="31"/>
      <c r="H71" s="29"/>
    </row>
    <row r="72" spans="1:8" ht="15.95" customHeight="1" x14ac:dyDescent="0.25">
      <c r="A72" s="330"/>
      <c r="B72" s="344"/>
      <c r="C72" s="30">
        <v>0</v>
      </c>
      <c r="D72" s="63" t="s">
        <v>73</v>
      </c>
      <c r="E72" s="32"/>
      <c r="H72" s="29"/>
    </row>
    <row r="73" spans="1:8" ht="15" customHeight="1" x14ac:dyDescent="0.25">
      <c r="A73" s="331"/>
      <c r="B73" s="345"/>
      <c r="C73" s="337" t="s">
        <v>74</v>
      </c>
      <c r="D73" s="375"/>
      <c r="E73" s="25">
        <f>IF(OR(F61="Salah isi",F67="Salah isi"),0,(E61+2*E67)/3)</f>
        <v>0</v>
      </c>
      <c r="H73" s="29"/>
    </row>
    <row r="74" spans="1:8" ht="15" customHeight="1" x14ac:dyDescent="0.25">
      <c r="A74" s="26"/>
      <c r="B74" s="26"/>
      <c r="C74" s="27"/>
      <c r="D74" s="64"/>
      <c r="E74" s="28"/>
      <c r="H74" s="29"/>
    </row>
    <row r="75" spans="1:8" ht="120" customHeight="1" x14ac:dyDescent="0.25">
      <c r="A75" s="329">
        <v>8</v>
      </c>
      <c r="B75" s="343" t="s">
        <v>86</v>
      </c>
      <c r="C75" s="393" t="s">
        <v>87</v>
      </c>
      <c r="D75" s="369"/>
      <c r="E75" s="21"/>
      <c r="F75" s="8" t="str">
        <f>IF(OR(ISBLANK(E75),E75&lt;1,E75&gt;4),"Salah isi","judge")</f>
        <v>Salah isi</v>
      </c>
      <c r="H75" s="210"/>
    </row>
    <row r="76" spans="1:8" ht="32.1" customHeight="1" x14ac:dyDescent="0.25">
      <c r="A76" s="330"/>
      <c r="B76" s="344"/>
      <c r="C76" s="30">
        <v>4</v>
      </c>
      <c r="D76" s="68" t="s">
        <v>88</v>
      </c>
      <c r="E76" s="31"/>
      <c r="H76" s="29"/>
    </row>
    <row r="77" spans="1:8" ht="32.1" customHeight="1" x14ac:dyDescent="0.25">
      <c r="A77" s="330"/>
      <c r="B77" s="344"/>
      <c r="C77" s="30">
        <v>3</v>
      </c>
      <c r="D77" s="68" t="s">
        <v>89</v>
      </c>
      <c r="E77" s="31"/>
      <c r="H77" s="29"/>
    </row>
    <row r="78" spans="1:8" ht="32.1" customHeight="1" x14ac:dyDescent="0.25">
      <c r="A78" s="330"/>
      <c r="B78" s="344"/>
      <c r="C78" s="30">
        <v>2</v>
      </c>
      <c r="D78" s="68" t="s">
        <v>90</v>
      </c>
      <c r="E78" s="31"/>
      <c r="H78" s="29"/>
    </row>
    <row r="79" spans="1:8" ht="15.95" customHeight="1" x14ac:dyDescent="0.25">
      <c r="A79" s="330"/>
      <c r="B79" s="344"/>
      <c r="C79" s="30">
        <v>1</v>
      </c>
      <c r="D79" s="68" t="s">
        <v>91</v>
      </c>
      <c r="E79" s="31"/>
      <c r="H79" s="29"/>
    </row>
    <row r="80" spans="1:8" ht="15.95" customHeight="1" x14ac:dyDescent="0.25">
      <c r="A80" s="330"/>
      <c r="B80" s="344"/>
      <c r="C80" s="30">
        <v>0</v>
      </c>
      <c r="D80" s="68" t="s">
        <v>73</v>
      </c>
      <c r="E80" s="32"/>
      <c r="H80" s="29"/>
    </row>
    <row r="81" spans="1:8" ht="15" customHeight="1" x14ac:dyDescent="0.25">
      <c r="A81" s="331"/>
      <c r="B81" s="345"/>
      <c r="C81" s="394" t="s">
        <v>34</v>
      </c>
      <c r="D81" s="395"/>
      <c r="E81" s="34">
        <f>IF(F75="Salah isi",0,E75)</f>
        <v>0</v>
      </c>
      <c r="H81" s="29"/>
    </row>
    <row r="82" spans="1:8" ht="15" customHeight="1" x14ac:dyDescent="0.25">
      <c r="A82" s="26"/>
      <c r="B82" s="26"/>
      <c r="C82" s="35"/>
      <c r="D82" s="69"/>
      <c r="E82" s="28"/>
      <c r="H82" s="29"/>
    </row>
    <row r="83" spans="1:8" ht="51" customHeight="1" x14ac:dyDescent="0.25">
      <c r="A83" s="329">
        <v>9</v>
      </c>
      <c r="B83" s="364"/>
      <c r="C83" s="352" t="s">
        <v>92</v>
      </c>
      <c r="D83" s="352"/>
      <c r="E83" s="36"/>
      <c r="H83" s="210"/>
    </row>
    <row r="84" spans="1:8" ht="15.75" customHeight="1" x14ac:dyDescent="0.35">
      <c r="A84" s="330"/>
      <c r="B84" s="365"/>
      <c r="C84" s="396" t="s">
        <v>93</v>
      </c>
      <c r="D84" s="396"/>
      <c r="E84" s="58">
        <v>0</v>
      </c>
      <c r="F84" s="8" t="s">
        <v>94</v>
      </c>
      <c r="G84" s="37"/>
      <c r="H84" s="29"/>
    </row>
    <row r="85" spans="1:8" ht="15.75" customHeight="1" x14ac:dyDescent="0.35">
      <c r="A85" s="330"/>
      <c r="B85" s="365"/>
      <c r="C85" s="396" t="s">
        <v>95</v>
      </c>
      <c r="D85" s="396"/>
      <c r="E85" s="58">
        <v>0</v>
      </c>
      <c r="F85" s="8" t="s">
        <v>94</v>
      </c>
      <c r="G85" s="37"/>
      <c r="H85" s="29"/>
    </row>
    <row r="86" spans="1:8" ht="15.75" customHeight="1" x14ac:dyDescent="0.35">
      <c r="A86" s="330"/>
      <c r="B86" s="365"/>
      <c r="C86" s="396" t="s">
        <v>96</v>
      </c>
      <c r="D86" s="396"/>
      <c r="E86" s="58">
        <v>0</v>
      </c>
      <c r="F86" s="8" t="s">
        <v>94</v>
      </c>
      <c r="G86" s="37"/>
      <c r="H86" s="29"/>
    </row>
    <row r="87" spans="1:8" ht="47.45" customHeight="1" x14ac:dyDescent="0.25">
      <c r="A87" s="330"/>
      <c r="B87" s="365"/>
      <c r="C87" s="327" t="s">
        <v>97</v>
      </c>
      <c r="D87" s="328"/>
      <c r="E87" s="58">
        <v>6</v>
      </c>
      <c r="F87" s="8" t="s">
        <v>94</v>
      </c>
      <c r="G87" s="37"/>
      <c r="H87" s="29"/>
    </row>
    <row r="88" spans="1:8" x14ac:dyDescent="0.25">
      <c r="A88" s="330"/>
      <c r="B88" s="365"/>
      <c r="C88" s="356" t="s">
        <v>98</v>
      </c>
      <c r="D88" s="356"/>
      <c r="E88" s="55">
        <f>IF(E87&gt;0,(D89*E84+D90*E85+D91*E86)/E87,0)</f>
        <v>0</v>
      </c>
      <c r="G88" s="41"/>
      <c r="H88" s="29"/>
    </row>
    <row r="89" spans="1:8" ht="14.45" hidden="1" customHeight="1" x14ac:dyDescent="0.25">
      <c r="A89" s="330"/>
      <c r="B89" s="365"/>
      <c r="C89" s="144" t="s">
        <v>99</v>
      </c>
      <c r="D89" s="144">
        <v>3</v>
      </c>
      <c r="E89" s="122"/>
      <c r="G89" s="41"/>
      <c r="H89" s="29"/>
    </row>
    <row r="90" spans="1:8" ht="14.45" hidden="1" customHeight="1" x14ac:dyDescent="0.25">
      <c r="A90" s="330"/>
      <c r="B90" s="365"/>
      <c r="C90" s="144" t="s">
        <v>100</v>
      </c>
      <c r="D90" s="144">
        <v>2</v>
      </c>
      <c r="E90" s="122"/>
      <c r="G90" s="41"/>
      <c r="H90" s="29"/>
    </row>
    <row r="91" spans="1:8" ht="14.45" hidden="1" customHeight="1" x14ac:dyDescent="0.25">
      <c r="A91" s="330"/>
      <c r="B91" s="365"/>
      <c r="C91" s="144" t="s">
        <v>101</v>
      </c>
      <c r="D91" s="144">
        <v>1</v>
      </c>
      <c r="E91" s="122"/>
      <c r="G91" s="41"/>
      <c r="H91" s="29"/>
    </row>
    <row r="92" spans="1:8" ht="29.1" hidden="1" customHeight="1" x14ac:dyDescent="0.25">
      <c r="A92" s="330"/>
      <c r="B92" s="365"/>
      <c r="C92" s="144" t="s">
        <v>102</v>
      </c>
      <c r="D92" s="144">
        <v>4</v>
      </c>
      <c r="E92" s="122"/>
      <c r="G92" s="41"/>
      <c r="H92" s="29"/>
    </row>
    <row r="93" spans="1:8" ht="15" customHeight="1" x14ac:dyDescent="0.25">
      <c r="A93" s="330"/>
      <c r="B93" s="365"/>
      <c r="C93" s="341" t="s">
        <v>103</v>
      </c>
      <c r="D93" s="342"/>
      <c r="E93" s="25">
        <f>IF(E88&gt;=D92,4,E88)</f>
        <v>0</v>
      </c>
      <c r="G93" s="38"/>
      <c r="H93" s="29"/>
    </row>
    <row r="94" spans="1:8" ht="45.75" customHeight="1" x14ac:dyDescent="0.25">
      <c r="A94" s="330"/>
      <c r="B94" s="365"/>
      <c r="C94" s="352" t="s">
        <v>104</v>
      </c>
      <c r="D94" s="352"/>
      <c r="E94" s="84"/>
      <c r="G94" s="38"/>
      <c r="H94" s="29"/>
    </row>
    <row r="95" spans="1:8" ht="15.75" customHeight="1" x14ac:dyDescent="0.35">
      <c r="A95" s="330"/>
      <c r="B95" s="365"/>
      <c r="C95" s="397" t="s">
        <v>105</v>
      </c>
      <c r="D95" s="398"/>
      <c r="E95" s="85">
        <v>0</v>
      </c>
      <c r="F95" s="8" t="s">
        <v>94</v>
      </c>
      <c r="G95" s="37"/>
      <c r="H95" s="29"/>
    </row>
    <row r="96" spans="1:8" ht="15.75" customHeight="1" x14ac:dyDescent="0.35">
      <c r="A96" s="330"/>
      <c r="B96" s="365"/>
      <c r="C96" s="397" t="s">
        <v>106</v>
      </c>
      <c r="D96" s="398"/>
      <c r="E96" s="58">
        <v>0</v>
      </c>
      <c r="F96" s="8" t="s">
        <v>94</v>
      </c>
      <c r="G96" s="37"/>
      <c r="H96" s="29"/>
    </row>
    <row r="97" spans="1:8" ht="15.75" customHeight="1" x14ac:dyDescent="0.35">
      <c r="A97" s="330"/>
      <c r="B97" s="365"/>
      <c r="C97" s="397" t="s">
        <v>107</v>
      </c>
      <c r="D97" s="398"/>
      <c r="E97" s="58">
        <v>0</v>
      </c>
      <c r="F97" s="8" t="s">
        <v>94</v>
      </c>
      <c r="G97" s="37"/>
      <c r="H97" s="29"/>
    </row>
    <row r="98" spans="1:8" ht="14.45" hidden="1" customHeight="1" x14ac:dyDescent="0.25">
      <c r="A98" s="330"/>
      <c r="B98" s="365"/>
      <c r="C98" s="211" t="s">
        <v>99</v>
      </c>
      <c r="D98" s="212">
        <v>2</v>
      </c>
      <c r="E98" s="122"/>
      <c r="G98" s="41"/>
      <c r="H98" s="29"/>
    </row>
    <row r="99" spans="1:8" ht="14.45" hidden="1" customHeight="1" x14ac:dyDescent="0.25">
      <c r="A99" s="330"/>
      <c r="B99" s="365"/>
      <c r="C99" s="211" t="s">
        <v>100</v>
      </c>
      <c r="D99" s="212">
        <v>6</v>
      </c>
      <c r="E99" s="122"/>
      <c r="G99" s="41"/>
      <c r="H99" s="29"/>
    </row>
    <row r="100" spans="1:8" ht="14.45" hidden="1" customHeight="1" x14ac:dyDescent="0.25">
      <c r="A100" s="330"/>
      <c r="B100" s="365"/>
      <c r="C100" s="211" t="s">
        <v>101</v>
      </c>
      <c r="D100" s="212">
        <v>9</v>
      </c>
      <c r="E100" s="122"/>
      <c r="G100" s="86"/>
      <c r="H100" s="29"/>
    </row>
    <row r="101" spans="1:8" ht="14.45" hidden="1" customHeight="1" x14ac:dyDescent="0.25">
      <c r="A101" s="330"/>
      <c r="B101" s="365"/>
      <c r="C101" s="124"/>
      <c r="D101" s="125" t="s">
        <v>108</v>
      </c>
      <c r="E101" s="126" t="str">
        <f>IF(E95&gt;=D98,"YES","NO")</f>
        <v>NO</v>
      </c>
      <c r="G101" s="87"/>
      <c r="H101" s="29"/>
    </row>
    <row r="102" spans="1:8" ht="14.45" hidden="1" customHeight="1" x14ac:dyDescent="0.25">
      <c r="A102" s="330"/>
      <c r="B102" s="365"/>
      <c r="C102" s="124"/>
      <c r="D102" s="125" t="s">
        <v>109</v>
      </c>
      <c r="E102" s="126" t="str">
        <f>IF(AND(E95&lt;D98,E96&gt;=D99),"YES","NO")</f>
        <v>NO</v>
      </c>
      <c r="G102" s="87"/>
      <c r="H102" s="29"/>
    </row>
    <row r="103" spans="1:8" ht="14.45" hidden="1" customHeight="1" x14ac:dyDescent="0.25">
      <c r="A103" s="330"/>
      <c r="B103" s="365"/>
      <c r="C103" s="124"/>
      <c r="D103" s="125" t="s">
        <v>110</v>
      </c>
      <c r="E103" s="126" t="str">
        <f>IF(OR(AND(E95&gt;0,E95&lt;D98,E96=0),AND(E96&gt;0,E96&lt;D99,E95=0),AND(E95&gt;0,E95&lt;D98,E96&gt;0,E96&lt;D99)),"YES","NO")</f>
        <v>NO</v>
      </c>
      <c r="G103" s="41"/>
      <c r="H103" s="29"/>
    </row>
    <row r="104" spans="1:8" ht="14.45" hidden="1" customHeight="1" x14ac:dyDescent="0.25">
      <c r="A104" s="330"/>
      <c r="B104" s="365"/>
      <c r="C104" s="124"/>
      <c r="D104" s="125" t="s">
        <v>111</v>
      </c>
      <c r="E104" s="126" t="str">
        <f>IF(AND(E95=0,E96=0,E97&gt;=D100),"YES","NO")</f>
        <v>NO</v>
      </c>
      <c r="G104" s="41"/>
      <c r="H104" s="29"/>
    </row>
    <row r="105" spans="1:8" ht="14.45" hidden="1" customHeight="1" x14ac:dyDescent="0.25">
      <c r="A105" s="330"/>
      <c r="B105" s="365"/>
      <c r="C105" s="124"/>
      <c r="D105" s="125" t="s">
        <v>112</v>
      </c>
      <c r="E105" s="126" t="str">
        <f>IF(AND(E95=0,E96=0,E97&lt;D100),"YES","NO")</f>
        <v>YES</v>
      </c>
      <c r="G105" s="41"/>
      <c r="H105" s="29"/>
    </row>
    <row r="106" spans="1:8" ht="14.45" hidden="1" customHeight="1" x14ac:dyDescent="0.25">
      <c r="A106" s="330"/>
      <c r="B106" s="365"/>
      <c r="C106" s="367"/>
      <c r="D106" s="368"/>
      <c r="E106" s="213"/>
      <c r="G106" s="41"/>
      <c r="H106" s="29"/>
    </row>
    <row r="107" spans="1:8" ht="15.95" customHeight="1" x14ac:dyDescent="0.25">
      <c r="A107" s="330"/>
      <c r="B107" s="365"/>
      <c r="C107" s="399" t="s">
        <v>113</v>
      </c>
      <c r="D107" s="400"/>
      <c r="E107" s="214">
        <f>IF(E101="YES",4,IF(E102="YES",3+E95/D98,IF(E103="YES",2+2*E95/D98+E96/D99-(E95*E96)/(D98*D99),IF(E104="YES",2,2*E97/D100))))</f>
        <v>0</v>
      </c>
      <c r="G107" s="38"/>
      <c r="H107" s="29"/>
    </row>
    <row r="108" spans="1:8" ht="15.95" customHeight="1" x14ac:dyDescent="0.25">
      <c r="A108" s="331"/>
      <c r="B108" s="366"/>
      <c r="C108" s="341" t="s">
        <v>114</v>
      </c>
      <c r="D108" s="342"/>
      <c r="E108" s="25">
        <f>(2*E93+E107)/3</f>
        <v>0</v>
      </c>
      <c r="G108" s="38"/>
      <c r="H108" s="29"/>
    </row>
    <row r="109" spans="1:8" ht="15.95" customHeight="1" x14ac:dyDescent="0.25">
      <c r="C109" s="39"/>
      <c r="D109" s="70"/>
      <c r="H109" s="40"/>
    </row>
    <row r="110" spans="1:8" ht="48" customHeight="1" x14ac:dyDescent="0.25">
      <c r="A110" s="329">
        <v>10</v>
      </c>
      <c r="B110" s="343" t="s">
        <v>115</v>
      </c>
      <c r="C110" s="335" t="s">
        <v>116</v>
      </c>
      <c r="D110" s="369"/>
      <c r="E110" s="21"/>
      <c r="F110" s="8" t="str">
        <f>IF(OR(ISBLANK(E110),E110&lt;2,E110&gt;4),"Salah isi","judge")</f>
        <v>Salah isi</v>
      </c>
      <c r="H110" s="210"/>
    </row>
    <row r="111" spans="1:8" ht="96" customHeight="1" x14ac:dyDescent="0.25">
      <c r="A111" s="330"/>
      <c r="B111" s="344"/>
      <c r="C111" s="30">
        <v>4</v>
      </c>
      <c r="D111" s="68" t="s">
        <v>117</v>
      </c>
      <c r="E111" s="31"/>
      <c r="H111" s="29"/>
    </row>
    <row r="112" spans="1:8" ht="96" customHeight="1" x14ac:dyDescent="0.25">
      <c r="A112" s="330"/>
      <c r="B112" s="344"/>
      <c r="C112" s="30">
        <v>3</v>
      </c>
      <c r="D112" s="68" t="s">
        <v>118</v>
      </c>
      <c r="E112" s="31"/>
      <c r="H112" s="29"/>
    </row>
    <row r="113" spans="1:8" ht="15.95" customHeight="1" x14ac:dyDescent="0.25">
      <c r="A113" s="330"/>
      <c r="B113" s="344"/>
      <c r="C113" s="30">
        <v>2</v>
      </c>
      <c r="D113" s="68" t="s">
        <v>119</v>
      </c>
      <c r="E113" s="31"/>
      <c r="H113" s="29"/>
    </row>
    <row r="114" spans="1:8" x14ac:dyDescent="0.25">
      <c r="A114" s="330"/>
      <c r="B114" s="344"/>
      <c r="C114" s="30">
        <v>1</v>
      </c>
      <c r="D114" s="356" t="s">
        <v>80</v>
      </c>
      <c r="E114" s="31"/>
      <c r="H114" s="29"/>
    </row>
    <row r="115" spans="1:8" ht="14.85" customHeight="1" x14ac:dyDescent="0.25">
      <c r="A115" s="330"/>
      <c r="B115" s="344"/>
      <c r="C115" s="30">
        <v>0</v>
      </c>
      <c r="D115" s="356"/>
      <c r="E115" s="32"/>
      <c r="H115" s="29"/>
    </row>
    <row r="116" spans="1:8" ht="15" customHeight="1" x14ac:dyDescent="0.25">
      <c r="A116" s="331"/>
      <c r="B116" s="345"/>
      <c r="C116" s="337" t="s">
        <v>34</v>
      </c>
      <c r="D116" s="338"/>
      <c r="E116" s="25">
        <f>IF(F110="Salah isi",0,E110)</f>
        <v>0</v>
      </c>
      <c r="H116" s="29"/>
    </row>
    <row r="117" spans="1:8" ht="15" customHeight="1" x14ac:dyDescent="0.25">
      <c r="A117" s="26"/>
      <c r="B117" s="26"/>
      <c r="C117" s="27"/>
      <c r="D117" s="64"/>
      <c r="E117" s="28"/>
      <c r="H117" s="29"/>
    </row>
    <row r="118" spans="1:8" ht="108.75" customHeight="1" x14ac:dyDescent="0.25">
      <c r="A118" s="329">
        <v>11</v>
      </c>
      <c r="B118" s="343" t="s">
        <v>120</v>
      </c>
      <c r="C118" s="335" t="s">
        <v>121</v>
      </c>
      <c r="D118" s="369"/>
      <c r="E118" s="21"/>
      <c r="F118" s="8" t="str">
        <f>IF(OR(ISBLANK(E118),E118&gt;4),"Salah isi","judge")</f>
        <v>Salah isi</v>
      </c>
      <c r="H118" s="210"/>
    </row>
    <row r="119" spans="1:8" ht="48" customHeight="1" x14ac:dyDescent="0.25">
      <c r="A119" s="330"/>
      <c r="B119" s="344"/>
      <c r="C119" s="30">
        <v>4</v>
      </c>
      <c r="D119" s="68" t="s">
        <v>122</v>
      </c>
      <c r="E119" s="31"/>
      <c r="H119" s="29"/>
    </row>
    <row r="120" spans="1:8" ht="32.1" customHeight="1" x14ac:dyDescent="0.25">
      <c r="A120" s="330"/>
      <c r="B120" s="344"/>
      <c r="C120" s="30">
        <v>3</v>
      </c>
      <c r="D120" s="68" t="s">
        <v>123</v>
      </c>
      <c r="E120" s="31"/>
      <c r="H120" s="29"/>
    </row>
    <row r="121" spans="1:8" ht="15.95" customHeight="1" x14ac:dyDescent="0.25">
      <c r="A121" s="330"/>
      <c r="B121" s="344"/>
      <c r="C121" s="30">
        <v>2</v>
      </c>
      <c r="D121" s="68" t="s">
        <v>124</v>
      </c>
      <c r="E121" s="31"/>
      <c r="H121" s="29"/>
    </row>
    <row r="122" spans="1:8" ht="28.5" customHeight="1" x14ac:dyDescent="0.25">
      <c r="A122" s="330"/>
      <c r="B122" s="344"/>
      <c r="C122" s="30">
        <v>1</v>
      </c>
      <c r="D122" s="68" t="s">
        <v>125</v>
      </c>
      <c r="E122" s="31"/>
      <c r="H122" s="29"/>
    </row>
    <row r="123" spans="1:8" ht="14.85" customHeight="1" x14ac:dyDescent="0.25">
      <c r="A123" s="330"/>
      <c r="B123" s="344"/>
      <c r="C123" s="30">
        <v>0</v>
      </c>
      <c r="D123" s="68" t="s">
        <v>126</v>
      </c>
      <c r="E123" s="32"/>
      <c r="H123" s="29"/>
    </row>
    <row r="124" spans="1:8" ht="15" customHeight="1" x14ac:dyDescent="0.25">
      <c r="A124" s="331"/>
      <c r="B124" s="345"/>
      <c r="C124" s="337" t="s">
        <v>34</v>
      </c>
      <c r="D124" s="338"/>
      <c r="E124" s="25">
        <f>IF(F118="Salah isi",0,E118)</f>
        <v>0</v>
      </c>
      <c r="H124" s="29"/>
    </row>
    <row r="125" spans="1:8" ht="15" customHeight="1" x14ac:dyDescent="0.25">
      <c r="A125" s="26"/>
      <c r="B125" s="26"/>
      <c r="C125" s="27"/>
      <c r="D125" s="64"/>
      <c r="E125" s="28"/>
      <c r="H125" s="29"/>
    </row>
    <row r="126" spans="1:8" ht="126.75" customHeight="1" x14ac:dyDescent="0.25">
      <c r="A126" s="329">
        <v>12</v>
      </c>
      <c r="B126" s="343" t="s">
        <v>127</v>
      </c>
      <c r="C126" s="335" t="s">
        <v>128</v>
      </c>
      <c r="D126" s="369"/>
      <c r="E126" s="21"/>
      <c r="F126" s="8" t="str">
        <f>IF(OR(ISBLANK(E126),E126&gt;4),"Salah isi","judge")</f>
        <v>Salah isi</v>
      </c>
      <c r="H126" s="210"/>
    </row>
    <row r="127" spans="1:8" ht="15.95" customHeight="1" x14ac:dyDescent="0.25">
      <c r="A127" s="330"/>
      <c r="B127" s="344"/>
      <c r="C127" s="30">
        <v>4</v>
      </c>
      <c r="D127" s="68" t="s">
        <v>129</v>
      </c>
      <c r="E127" s="31"/>
      <c r="H127" s="29"/>
    </row>
    <row r="128" spans="1:8" ht="32.1" customHeight="1" x14ac:dyDescent="0.25">
      <c r="A128" s="330"/>
      <c r="B128" s="344"/>
      <c r="C128" s="30">
        <v>3</v>
      </c>
      <c r="D128" s="68" t="s">
        <v>130</v>
      </c>
      <c r="E128" s="31"/>
      <c r="H128" s="29"/>
    </row>
    <row r="129" spans="1:8" ht="32.1" customHeight="1" x14ac:dyDescent="0.25">
      <c r="A129" s="330"/>
      <c r="B129" s="344"/>
      <c r="C129" s="30">
        <v>2</v>
      </c>
      <c r="D129" s="68" t="s">
        <v>131</v>
      </c>
      <c r="E129" s="31"/>
      <c r="H129" s="29"/>
    </row>
    <row r="130" spans="1:8" ht="48" customHeight="1" x14ac:dyDescent="0.25">
      <c r="A130" s="330"/>
      <c r="B130" s="344"/>
      <c r="C130" s="30">
        <v>1</v>
      </c>
      <c r="D130" s="68" t="s">
        <v>132</v>
      </c>
      <c r="E130" s="31"/>
      <c r="H130" s="29"/>
    </row>
    <row r="131" spans="1:8" ht="32.1" customHeight="1" x14ac:dyDescent="0.25">
      <c r="A131" s="330"/>
      <c r="B131" s="344"/>
      <c r="C131" s="30">
        <v>0</v>
      </c>
      <c r="D131" s="68" t="s">
        <v>133</v>
      </c>
      <c r="E131" s="32"/>
      <c r="H131" s="29"/>
    </row>
    <row r="132" spans="1:8" ht="15" customHeight="1" x14ac:dyDescent="0.25">
      <c r="A132" s="331"/>
      <c r="B132" s="345"/>
      <c r="C132" s="337" t="s">
        <v>34</v>
      </c>
      <c r="D132" s="375"/>
      <c r="E132" s="25">
        <f>IF(F126="Salah isi",0,E126)</f>
        <v>0</v>
      </c>
      <c r="H132" s="29"/>
    </row>
    <row r="133" spans="1:8" ht="15" customHeight="1" x14ac:dyDescent="0.25">
      <c r="A133" s="26"/>
      <c r="B133" s="26"/>
      <c r="C133" s="27"/>
      <c r="D133" s="64"/>
      <c r="E133" s="28"/>
      <c r="H133" s="29"/>
    </row>
    <row r="134" spans="1:8" ht="173.1" customHeight="1" x14ac:dyDescent="0.25">
      <c r="A134" s="329">
        <v>13</v>
      </c>
      <c r="B134" s="343" t="s">
        <v>134</v>
      </c>
      <c r="C134" s="335" t="s">
        <v>135</v>
      </c>
      <c r="D134" s="369"/>
      <c r="E134" s="21"/>
      <c r="F134" s="8" t="str">
        <f>IF(OR(ISBLANK(E134),E134&gt;4),"Salah isi","judge")</f>
        <v>Salah isi</v>
      </c>
      <c r="H134" s="210"/>
    </row>
    <row r="135" spans="1:8" ht="32.1" customHeight="1" x14ac:dyDescent="0.25">
      <c r="A135" s="330"/>
      <c r="B135" s="344"/>
      <c r="C135" s="30">
        <v>4</v>
      </c>
      <c r="D135" s="68" t="s">
        <v>136</v>
      </c>
      <c r="E135" s="31"/>
      <c r="H135" s="29"/>
    </row>
    <row r="136" spans="1:8" ht="48" customHeight="1" x14ac:dyDescent="0.25">
      <c r="A136" s="330"/>
      <c r="B136" s="344"/>
      <c r="C136" s="30">
        <v>3</v>
      </c>
      <c r="D136" s="68" t="s">
        <v>137</v>
      </c>
      <c r="E136" s="31"/>
      <c r="H136" s="29"/>
    </row>
    <row r="137" spans="1:8" ht="32.1" customHeight="1" x14ac:dyDescent="0.25">
      <c r="A137" s="330"/>
      <c r="B137" s="344"/>
      <c r="C137" s="30">
        <v>2</v>
      </c>
      <c r="D137" s="68" t="s">
        <v>138</v>
      </c>
      <c r="E137" s="31"/>
      <c r="H137" s="29"/>
    </row>
    <row r="138" spans="1:8" ht="32.1" customHeight="1" x14ac:dyDescent="0.25">
      <c r="A138" s="330"/>
      <c r="B138" s="344"/>
      <c r="C138" s="30">
        <v>1</v>
      </c>
      <c r="D138" s="68" t="s">
        <v>139</v>
      </c>
      <c r="E138" s="31"/>
      <c r="H138" s="29"/>
    </row>
    <row r="139" spans="1:8" ht="15.95" customHeight="1" x14ac:dyDescent="0.25">
      <c r="A139" s="330"/>
      <c r="B139" s="344"/>
      <c r="C139" s="30">
        <v>0</v>
      </c>
      <c r="D139" s="68" t="s">
        <v>140</v>
      </c>
      <c r="E139" s="32"/>
      <c r="H139" s="29"/>
    </row>
    <row r="140" spans="1:8" ht="15" customHeight="1" x14ac:dyDescent="0.25">
      <c r="A140" s="331"/>
      <c r="B140" s="345"/>
      <c r="C140" s="337" t="s">
        <v>34</v>
      </c>
      <c r="D140" s="338"/>
      <c r="E140" s="25">
        <f>IF(F134="Salah isi",0,E134)</f>
        <v>0</v>
      </c>
      <c r="H140" s="29"/>
    </row>
    <row r="141" spans="1:8" ht="15" customHeight="1" x14ac:dyDescent="0.25">
      <c r="A141" s="26"/>
      <c r="B141" s="26"/>
      <c r="C141" s="27"/>
      <c r="D141" s="64"/>
      <c r="E141" s="28"/>
      <c r="H141" s="29"/>
    </row>
    <row r="142" spans="1:8" ht="32.450000000000003" customHeight="1" x14ac:dyDescent="0.25">
      <c r="A142" s="329">
        <v>14</v>
      </c>
      <c r="B142" s="343" t="s">
        <v>141</v>
      </c>
      <c r="C142" s="352" t="s">
        <v>142</v>
      </c>
      <c r="D142" s="352"/>
      <c r="E142" s="114"/>
      <c r="H142" s="210"/>
    </row>
    <row r="143" spans="1:8" ht="48" customHeight="1" x14ac:dyDescent="0.25">
      <c r="A143" s="330"/>
      <c r="B143" s="344"/>
      <c r="C143" s="180"/>
      <c r="D143" s="88" t="s">
        <v>143</v>
      </c>
      <c r="E143" s="98" t="s">
        <v>144</v>
      </c>
      <c r="H143" s="29"/>
    </row>
    <row r="144" spans="1:8" ht="32.450000000000003" hidden="1" customHeight="1" x14ac:dyDescent="0.25">
      <c r="A144" s="330"/>
      <c r="B144" s="344"/>
      <c r="C144" s="178"/>
      <c r="D144" s="129" t="s">
        <v>145</v>
      </c>
      <c r="E144" s="94" t="s">
        <v>144</v>
      </c>
      <c r="H144" s="29"/>
    </row>
    <row r="145" spans="1:8" ht="14.45" hidden="1" customHeight="1" x14ac:dyDescent="0.25">
      <c r="A145" s="330"/>
      <c r="B145" s="344"/>
      <c r="C145" s="178"/>
      <c r="D145" s="129" t="s">
        <v>146</v>
      </c>
      <c r="E145" s="94" t="s">
        <v>147</v>
      </c>
      <c r="H145" s="29"/>
    </row>
    <row r="146" spans="1:8" ht="14.45" hidden="1" customHeight="1" x14ac:dyDescent="0.25">
      <c r="A146" s="330"/>
      <c r="B146" s="344"/>
      <c r="C146" s="178"/>
      <c r="D146" s="129"/>
      <c r="E146" s="94"/>
      <c r="H146" s="29"/>
    </row>
    <row r="147" spans="1:8" ht="14.45" hidden="1" customHeight="1" x14ac:dyDescent="0.25">
      <c r="A147" s="330"/>
      <c r="B147" s="344"/>
      <c r="C147" s="178"/>
      <c r="D147" s="179"/>
      <c r="E147" s="103"/>
      <c r="H147" s="29"/>
    </row>
    <row r="148" spans="1:8" ht="32.450000000000003" customHeight="1" x14ac:dyDescent="0.25">
      <c r="A148" s="330"/>
      <c r="B148" s="344"/>
      <c r="C148" s="384" t="s">
        <v>148</v>
      </c>
      <c r="D148" s="392"/>
      <c r="E148" s="182"/>
      <c r="H148" s="29"/>
    </row>
    <row r="149" spans="1:8" x14ac:dyDescent="0.25">
      <c r="A149" s="330"/>
      <c r="B149" s="365"/>
      <c r="C149" s="327" t="s">
        <v>149</v>
      </c>
      <c r="D149" s="328"/>
      <c r="E149" s="58">
        <v>411</v>
      </c>
      <c r="F149" s="8" t="s">
        <v>94</v>
      </c>
      <c r="G149" s="37"/>
      <c r="H149" s="29"/>
    </row>
    <row r="150" spans="1:8" x14ac:dyDescent="0.25">
      <c r="A150" s="330"/>
      <c r="B150" s="365"/>
      <c r="C150" s="327" t="s">
        <v>150</v>
      </c>
      <c r="D150" s="328"/>
      <c r="E150" s="58">
        <v>315</v>
      </c>
      <c r="F150" s="8" t="s">
        <v>94</v>
      </c>
      <c r="G150" s="37"/>
      <c r="H150" s="29"/>
    </row>
    <row r="151" spans="1:8" x14ac:dyDescent="0.25">
      <c r="A151" s="330"/>
      <c r="B151" s="365"/>
      <c r="C151" s="327" t="s">
        <v>151</v>
      </c>
      <c r="D151" s="328"/>
      <c r="E151" s="55">
        <f>IF(E150&gt;0,E149/E150,0)</f>
        <v>1.3047619047619048</v>
      </c>
      <c r="G151" s="42"/>
      <c r="H151" s="29"/>
    </row>
    <row r="152" spans="1:8" ht="14.45" hidden="1" customHeight="1" x14ac:dyDescent="0.25">
      <c r="A152" s="330"/>
      <c r="B152" s="365"/>
      <c r="C152" s="142" t="s">
        <v>152</v>
      </c>
      <c r="D152" s="143">
        <v>5</v>
      </c>
      <c r="E152" s="96"/>
      <c r="G152" s="42"/>
      <c r="H152" s="29"/>
    </row>
    <row r="153" spans="1:8" ht="15.95" customHeight="1" x14ac:dyDescent="0.25">
      <c r="A153" s="330"/>
      <c r="B153" s="365"/>
      <c r="C153" s="388" t="s">
        <v>34</v>
      </c>
      <c r="D153" s="389"/>
      <c r="E153" s="181">
        <f>IF(E151&gt;=D152,4,4/D152*E151)</f>
        <v>1.043809523809524</v>
      </c>
      <c r="G153" s="42"/>
      <c r="H153" s="29"/>
    </row>
    <row r="154" spans="1:8" ht="36" customHeight="1" x14ac:dyDescent="0.25">
      <c r="A154" s="330"/>
      <c r="B154" s="365"/>
      <c r="C154" s="390" t="s">
        <v>153</v>
      </c>
      <c r="D154" s="391"/>
      <c r="E154" s="21"/>
      <c r="F154" s="8" t="str">
        <f>IF(E143="Tinggi","Tidak diisi",IF(OR(ISBLANK(E154),AND(E154&gt;2,E154&lt;4),AND(E154&gt;0,E154&lt;2),E154&gt;4),"Salah isi","judge"))</f>
        <v>Tidak diisi</v>
      </c>
      <c r="G154" s="42"/>
      <c r="H154" s="29"/>
    </row>
    <row r="155" spans="1:8" ht="15.95" customHeight="1" x14ac:dyDescent="0.25">
      <c r="A155" s="330"/>
      <c r="B155" s="365"/>
      <c r="C155" s="30">
        <v>4</v>
      </c>
      <c r="D155" s="68" t="s">
        <v>154</v>
      </c>
      <c r="E155" s="89"/>
      <c r="G155" s="42"/>
      <c r="H155" s="29"/>
    </row>
    <row r="156" spans="1:8" ht="15.95" customHeight="1" x14ac:dyDescent="0.25">
      <c r="A156" s="330"/>
      <c r="B156" s="365"/>
      <c r="C156" s="30">
        <v>3</v>
      </c>
      <c r="D156" s="68" t="s">
        <v>155</v>
      </c>
      <c r="E156" s="89"/>
      <c r="G156" s="42"/>
      <c r="H156" s="29"/>
    </row>
    <row r="157" spans="1:8" ht="15.95" customHeight="1" x14ac:dyDescent="0.25">
      <c r="A157" s="330"/>
      <c r="B157" s="365"/>
      <c r="C157" s="30">
        <v>2</v>
      </c>
      <c r="D157" s="68" t="s">
        <v>156</v>
      </c>
      <c r="E157" s="89"/>
      <c r="G157" s="42"/>
      <c r="H157" s="29"/>
    </row>
    <row r="158" spans="1:8" ht="15.95" customHeight="1" x14ac:dyDescent="0.25">
      <c r="A158" s="330"/>
      <c r="B158" s="365"/>
      <c r="C158" s="30">
        <v>1</v>
      </c>
      <c r="D158" s="68" t="s">
        <v>157</v>
      </c>
      <c r="E158" s="89"/>
      <c r="G158" s="42"/>
      <c r="H158" s="29"/>
    </row>
    <row r="159" spans="1:8" ht="17.100000000000001" customHeight="1" x14ac:dyDescent="0.25">
      <c r="A159" s="330"/>
      <c r="B159" s="365"/>
      <c r="C159" s="90">
        <v>0</v>
      </c>
      <c r="D159" s="91" t="s">
        <v>158</v>
      </c>
      <c r="E159" s="183"/>
      <c r="G159" s="42"/>
      <c r="H159" s="29"/>
    </row>
    <row r="160" spans="1:8" ht="15" customHeight="1" x14ac:dyDescent="0.25">
      <c r="A160" s="331"/>
      <c r="B160" s="366"/>
      <c r="C160" s="382" t="s">
        <v>34</v>
      </c>
      <c r="D160" s="383"/>
      <c r="E160" s="184">
        <f>IF(E143="Tinggi",E153,IF(AND(E143="Rendah",F154="Salah Isi"),0,E154))</f>
        <v>1.043809523809524</v>
      </c>
      <c r="G160" s="43"/>
      <c r="H160" s="29"/>
    </row>
    <row r="161" spans="1:8" ht="15.95" customHeight="1" x14ac:dyDescent="0.25">
      <c r="C161" s="39"/>
      <c r="D161" s="70"/>
      <c r="H161" s="40"/>
    </row>
    <row r="162" spans="1:8" ht="35.450000000000003" customHeight="1" x14ac:dyDescent="0.25">
      <c r="A162" s="329">
        <v>15</v>
      </c>
      <c r="B162" s="343" t="s">
        <v>159</v>
      </c>
      <c r="C162" s="352" t="s">
        <v>160</v>
      </c>
      <c r="D162" s="352"/>
      <c r="E162" s="21"/>
      <c r="F162" s="8" t="str">
        <f>IF(OR(ISBLANK(E162),E162&gt;4),"Salah isi","judge")</f>
        <v>Salah isi</v>
      </c>
      <c r="H162" s="210"/>
    </row>
    <row r="163" spans="1:8" ht="45" customHeight="1" x14ac:dyDescent="0.25">
      <c r="A163" s="330"/>
      <c r="B163" s="344"/>
      <c r="C163" s="30">
        <v>4</v>
      </c>
      <c r="D163" s="68" t="s">
        <v>161</v>
      </c>
      <c r="E163" s="89"/>
      <c r="H163" s="29"/>
    </row>
    <row r="164" spans="1:8" ht="45" customHeight="1" x14ac:dyDescent="0.25">
      <c r="A164" s="330"/>
      <c r="B164" s="344"/>
      <c r="C164" s="30">
        <v>3</v>
      </c>
      <c r="D164" s="68" t="s">
        <v>162</v>
      </c>
      <c r="E164" s="89"/>
      <c r="H164" s="29"/>
    </row>
    <row r="165" spans="1:8" ht="32.1" customHeight="1" x14ac:dyDescent="0.25">
      <c r="A165" s="330"/>
      <c r="B165" s="344"/>
      <c r="C165" s="30">
        <v>2</v>
      </c>
      <c r="D165" s="68" t="s">
        <v>163</v>
      </c>
      <c r="E165" s="89"/>
      <c r="H165" s="29"/>
    </row>
    <row r="166" spans="1:8" ht="32.1" customHeight="1" x14ac:dyDescent="0.25">
      <c r="A166" s="330"/>
      <c r="B166" s="344"/>
      <c r="C166" s="30">
        <v>1</v>
      </c>
      <c r="D166" s="68" t="s">
        <v>164</v>
      </c>
      <c r="E166" s="89"/>
      <c r="H166" s="29"/>
    </row>
    <row r="167" spans="1:8" ht="32.1" customHeight="1" x14ac:dyDescent="0.25">
      <c r="A167" s="330"/>
      <c r="B167" s="344"/>
      <c r="C167" s="90">
        <v>0</v>
      </c>
      <c r="D167" s="91" t="s">
        <v>165</v>
      </c>
      <c r="E167" s="92"/>
      <c r="H167" s="29"/>
    </row>
    <row r="168" spans="1:8" ht="32.450000000000003" customHeight="1" x14ac:dyDescent="0.25">
      <c r="A168" s="330"/>
      <c r="B168" s="344"/>
      <c r="C168" s="356" t="s">
        <v>166</v>
      </c>
      <c r="D168" s="356"/>
      <c r="E168" s="186"/>
      <c r="H168" s="29"/>
    </row>
    <row r="169" spans="1:8" ht="33.75" customHeight="1" x14ac:dyDescent="0.25">
      <c r="A169" s="330"/>
      <c r="B169" s="344"/>
      <c r="C169" s="327" t="s">
        <v>167</v>
      </c>
      <c r="D169" s="328"/>
      <c r="E169" s="58">
        <v>0</v>
      </c>
      <c r="F169" s="8" t="s">
        <v>94</v>
      </c>
      <c r="G169" s="37"/>
      <c r="H169" s="29"/>
    </row>
    <row r="170" spans="1:8" ht="33.75" customHeight="1" x14ac:dyDescent="0.25">
      <c r="A170" s="330"/>
      <c r="B170" s="344"/>
      <c r="C170" s="327" t="s">
        <v>168</v>
      </c>
      <c r="D170" s="328"/>
      <c r="E170" s="58">
        <v>0</v>
      </c>
      <c r="F170" s="8" t="s">
        <v>94</v>
      </c>
      <c r="G170" s="37"/>
      <c r="H170" s="29"/>
    </row>
    <row r="171" spans="1:8" ht="33.75" customHeight="1" x14ac:dyDescent="0.25">
      <c r="A171" s="330"/>
      <c r="B171" s="344"/>
      <c r="C171" s="327" t="s">
        <v>169</v>
      </c>
      <c r="D171" s="328"/>
      <c r="E171" s="58">
        <v>0</v>
      </c>
      <c r="F171" s="8" t="s">
        <v>94</v>
      </c>
      <c r="G171" s="37"/>
      <c r="H171" s="29"/>
    </row>
    <row r="172" spans="1:8" ht="14.45" customHeight="1" x14ac:dyDescent="0.25">
      <c r="A172" s="330"/>
      <c r="B172" s="344"/>
      <c r="C172" s="327" t="s">
        <v>170</v>
      </c>
      <c r="D172" s="328"/>
      <c r="E172" s="188">
        <f>IF(E169&gt;0,(E170+E171)/E169,0)</f>
        <v>0</v>
      </c>
      <c r="G172" s="42"/>
      <c r="H172" s="29"/>
    </row>
    <row r="173" spans="1:8" ht="14.45" hidden="1" customHeight="1" x14ac:dyDescent="0.25">
      <c r="A173" s="330"/>
      <c r="B173" s="344"/>
      <c r="C173" s="142" t="s">
        <v>152</v>
      </c>
      <c r="D173" s="151">
        <v>0.01</v>
      </c>
      <c r="E173" s="96"/>
      <c r="G173" s="42"/>
      <c r="H173" s="29"/>
    </row>
    <row r="174" spans="1:8" ht="15" customHeight="1" x14ac:dyDescent="0.25">
      <c r="A174" s="330"/>
      <c r="B174" s="344"/>
      <c r="C174" s="388" t="s">
        <v>113</v>
      </c>
      <c r="D174" s="389"/>
      <c r="E174" s="187">
        <f>IF(E172&gt;=D173,4,2+2/D173*E172)</f>
        <v>2</v>
      </c>
      <c r="G174" s="42"/>
      <c r="H174" s="29"/>
    </row>
    <row r="175" spans="1:8" ht="15" customHeight="1" x14ac:dyDescent="0.25">
      <c r="A175" s="331"/>
      <c r="B175" s="366"/>
      <c r="C175" s="341" t="s">
        <v>114</v>
      </c>
      <c r="D175" s="342"/>
      <c r="E175" s="25">
        <f>IF(F162="Salah isi",0,(2*E162+E174)/3)</f>
        <v>0</v>
      </c>
      <c r="G175" s="43"/>
      <c r="H175" s="29"/>
    </row>
    <row r="176" spans="1:8" ht="15.95" customHeight="1" x14ac:dyDescent="0.25">
      <c r="C176" s="39"/>
      <c r="D176" s="70"/>
      <c r="H176" s="40"/>
    </row>
    <row r="177" spans="1:8" ht="80.099999999999994" customHeight="1" x14ac:dyDescent="0.25">
      <c r="A177" s="329">
        <v>16</v>
      </c>
      <c r="B177" s="343" t="s">
        <v>171</v>
      </c>
      <c r="C177" s="335" t="s">
        <v>172</v>
      </c>
      <c r="D177" s="369"/>
      <c r="E177" s="21"/>
      <c r="F177" s="8" t="str">
        <f>IF(OR(ISBLANK(E177),E177&gt;4),"Salah isi","judge")</f>
        <v>Salah isi</v>
      </c>
      <c r="H177" s="210"/>
    </row>
    <row r="178" spans="1:8" ht="48" customHeight="1" x14ac:dyDescent="0.25">
      <c r="A178" s="330"/>
      <c r="B178" s="344"/>
      <c r="C178" s="30">
        <v>4</v>
      </c>
      <c r="D178" s="68" t="s">
        <v>173</v>
      </c>
      <c r="E178" s="31"/>
      <c r="H178" s="29"/>
    </row>
    <row r="179" spans="1:8" ht="48" customHeight="1" x14ac:dyDescent="0.25">
      <c r="A179" s="330"/>
      <c r="B179" s="344"/>
      <c r="C179" s="30">
        <v>3</v>
      </c>
      <c r="D179" s="68" t="s">
        <v>174</v>
      </c>
      <c r="E179" s="31"/>
      <c r="H179" s="29"/>
    </row>
    <row r="180" spans="1:8" ht="15.95" customHeight="1" x14ac:dyDescent="0.25">
      <c r="A180" s="330"/>
      <c r="B180" s="344"/>
      <c r="C180" s="30">
        <v>2</v>
      </c>
      <c r="D180" s="68" t="s">
        <v>175</v>
      </c>
      <c r="E180" s="31"/>
      <c r="H180" s="29"/>
    </row>
    <row r="181" spans="1:8" ht="32.1" customHeight="1" x14ac:dyDescent="0.25">
      <c r="A181" s="330"/>
      <c r="B181" s="344"/>
      <c r="C181" s="30">
        <v>1</v>
      </c>
      <c r="D181" s="71" t="s">
        <v>176</v>
      </c>
      <c r="E181" s="31"/>
      <c r="H181" s="29"/>
    </row>
    <row r="182" spans="1:8" ht="15.95" customHeight="1" x14ac:dyDescent="0.25">
      <c r="A182" s="330"/>
      <c r="B182" s="344"/>
      <c r="C182" s="90">
        <v>0</v>
      </c>
      <c r="D182" s="91" t="s">
        <v>177</v>
      </c>
      <c r="E182" s="92"/>
      <c r="H182" s="29"/>
    </row>
    <row r="183" spans="1:8" ht="42" customHeight="1" x14ac:dyDescent="0.25">
      <c r="A183" s="330"/>
      <c r="B183" s="344"/>
      <c r="C183" s="327" t="s">
        <v>178</v>
      </c>
      <c r="D183" s="328"/>
      <c r="E183" s="93"/>
      <c r="F183" s="8" t="str">
        <f>IF(OR(ISBLANK(E183),E183&gt;4),"Salah isi","judge")</f>
        <v>Salah isi</v>
      </c>
      <c r="H183" s="29"/>
    </row>
    <row r="184" spans="1:8" ht="32.1" customHeight="1" x14ac:dyDescent="0.25">
      <c r="A184" s="330"/>
      <c r="B184" s="344"/>
      <c r="C184" s="30">
        <v>4</v>
      </c>
      <c r="D184" s="68" t="s">
        <v>179</v>
      </c>
      <c r="E184" s="31"/>
      <c r="H184" s="29"/>
    </row>
    <row r="185" spans="1:8" ht="32.1" customHeight="1" x14ac:dyDescent="0.25">
      <c r="A185" s="330"/>
      <c r="B185" s="344"/>
      <c r="C185" s="30">
        <v>3</v>
      </c>
      <c r="D185" s="68" t="s">
        <v>180</v>
      </c>
      <c r="E185" s="31"/>
      <c r="H185" s="29"/>
    </row>
    <row r="186" spans="1:8" ht="32.1" customHeight="1" x14ac:dyDescent="0.25">
      <c r="A186" s="330"/>
      <c r="B186" s="344"/>
      <c r="C186" s="30">
        <v>2</v>
      </c>
      <c r="D186" s="68" t="s">
        <v>181</v>
      </c>
      <c r="E186" s="31"/>
      <c r="H186" s="29"/>
    </row>
    <row r="187" spans="1:8" ht="32.1" customHeight="1" x14ac:dyDescent="0.25">
      <c r="A187" s="330"/>
      <c r="B187" s="344"/>
      <c r="C187" s="30">
        <v>1</v>
      </c>
      <c r="D187" s="71" t="s">
        <v>182</v>
      </c>
      <c r="E187" s="31"/>
      <c r="H187" s="29"/>
    </row>
    <row r="188" spans="1:8" ht="15.95" customHeight="1" x14ac:dyDescent="0.25">
      <c r="A188" s="330"/>
      <c r="B188" s="344"/>
      <c r="C188" s="30">
        <v>0</v>
      </c>
      <c r="D188" s="68" t="s">
        <v>177</v>
      </c>
      <c r="E188" s="32"/>
      <c r="H188" s="29"/>
    </row>
    <row r="189" spans="1:8" ht="15" customHeight="1" x14ac:dyDescent="0.25">
      <c r="A189" s="331"/>
      <c r="B189" s="345"/>
      <c r="C189" s="337" t="s">
        <v>74</v>
      </c>
      <c r="D189" s="338"/>
      <c r="E189" s="25">
        <f>IF(OR(F177="Salah isi",F183="Salah isi"),0,(E177+2*E183)/3)</f>
        <v>0</v>
      </c>
      <c r="H189" s="29"/>
    </row>
    <row r="190" spans="1:8" ht="15" customHeight="1" x14ac:dyDescent="0.25">
      <c r="A190" s="26"/>
      <c r="B190" s="26"/>
      <c r="C190" s="27"/>
      <c r="D190" s="64"/>
      <c r="E190" s="28"/>
      <c r="H190" s="29"/>
    </row>
    <row r="191" spans="1:8" ht="44.45" customHeight="1" x14ac:dyDescent="0.25">
      <c r="A191" s="329">
        <v>17</v>
      </c>
      <c r="B191" s="343" t="s">
        <v>183</v>
      </c>
      <c r="C191" s="352" t="s">
        <v>184</v>
      </c>
      <c r="D191" s="352"/>
      <c r="E191" s="36"/>
      <c r="H191" s="210"/>
    </row>
    <row r="192" spans="1:8" ht="50.1" customHeight="1" x14ac:dyDescent="0.25">
      <c r="A192" s="330"/>
      <c r="B192" s="344"/>
      <c r="C192" s="327" t="s">
        <v>97</v>
      </c>
      <c r="D192" s="328"/>
      <c r="E192" s="58">
        <v>4</v>
      </c>
      <c r="F192" s="8" t="s">
        <v>94</v>
      </c>
      <c r="G192" s="37"/>
      <c r="H192" s="29"/>
    </row>
    <row r="193" spans="1:8" ht="14.45" hidden="1" customHeight="1" x14ac:dyDescent="0.25">
      <c r="A193" s="330"/>
      <c r="B193" s="344"/>
      <c r="C193" s="124" t="s">
        <v>185</v>
      </c>
      <c r="D193" s="125">
        <v>3</v>
      </c>
      <c r="E193" s="153"/>
      <c r="G193" s="37"/>
      <c r="H193" s="29"/>
    </row>
    <row r="194" spans="1:8" ht="14.45" hidden="1" customHeight="1" x14ac:dyDescent="0.25">
      <c r="A194" s="330"/>
      <c r="B194" s="344"/>
      <c r="C194" s="124" t="s">
        <v>186</v>
      </c>
      <c r="D194" s="125">
        <v>6</v>
      </c>
      <c r="E194" s="153"/>
      <c r="G194" s="37"/>
      <c r="H194" s="29"/>
    </row>
    <row r="195" spans="1:8" ht="15.95" customHeight="1" x14ac:dyDescent="0.25">
      <c r="A195" s="331"/>
      <c r="B195" s="345"/>
      <c r="C195" s="341" t="s">
        <v>34</v>
      </c>
      <c r="D195" s="342"/>
      <c r="E195" s="25">
        <f>IF(E192&gt;=D194,4,IF(E192&gt;=D193,2/(D194-D193)*(E192-D193)+2,0))</f>
        <v>2.6666666666666665</v>
      </c>
      <c r="H195" s="29"/>
    </row>
    <row r="196" spans="1:8" ht="15.95" customHeight="1" x14ac:dyDescent="0.25">
      <c r="C196" s="39"/>
      <c r="D196" s="70"/>
      <c r="H196" s="40"/>
    </row>
    <row r="197" spans="1:8" ht="41.45" customHeight="1" x14ac:dyDescent="0.25">
      <c r="A197" s="329">
        <v>18</v>
      </c>
      <c r="B197" s="343"/>
      <c r="C197" s="352" t="s">
        <v>187</v>
      </c>
      <c r="D197" s="352"/>
      <c r="E197" s="36"/>
      <c r="H197" s="210"/>
    </row>
    <row r="198" spans="1:8" ht="35.1" customHeight="1" x14ac:dyDescent="0.25">
      <c r="A198" s="330"/>
      <c r="B198" s="344"/>
      <c r="C198" s="327" t="s">
        <v>188</v>
      </c>
      <c r="D198" s="328"/>
      <c r="E198" s="58">
        <v>1</v>
      </c>
      <c r="F198" s="8" t="s">
        <v>94</v>
      </c>
      <c r="G198" s="37"/>
      <c r="H198" s="29"/>
    </row>
    <row r="199" spans="1:8" ht="53.1" customHeight="1" x14ac:dyDescent="0.25">
      <c r="A199" s="330"/>
      <c r="B199" s="344"/>
      <c r="C199" s="327" t="s">
        <v>97</v>
      </c>
      <c r="D199" s="328"/>
      <c r="E199" s="58">
        <v>4</v>
      </c>
      <c r="F199" s="8" t="s">
        <v>94</v>
      </c>
      <c r="G199" s="37"/>
      <c r="H199" s="29"/>
    </row>
    <row r="200" spans="1:8" ht="14.45" customHeight="1" x14ac:dyDescent="0.25">
      <c r="A200" s="330"/>
      <c r="B200" s="344"/>
      <c r="C200" s="327" t="s">
        <v>189</v>
      </c>
      <c r="D200" s="328"/>
      <c r="E200" s="56">
        <f>IF(E199&gt;0,E198/E199,0)</f>
        <v>0.25</v>
      </c>
      <c r="G200" s="42"/>
      <c r="H200" s="29"/>
    </row>
    <row r="201" spans="1:8" ht="14.45" hidden="1" customHeight="1" x14ac:dyDescent="0.25">
      <c r="A201" s="330"/>
      <c r="B201" s="344"/>
      <c r="C201" s="124" t="s">
        <v>152</v>
      </c>
      <c r="D201" s="155">
        <v>0.5</v>
      </c>
      <c r="E201" s="154"/>
      <c r="G201" s="42"/>
      <c r="H201" s="29"/>
    </row>
    <row r="202" spans="1:8" ht="15.95" customHeight="1" x14ac:dyDescent="0.25">
      <c r="A202" s="331"/>
      <c r="B202" s="345"/>
      <c r="C202" s="341" t="s">
        <v>34</v>
      </c>
      <c r="D202" s="342"/>
      <c r="E202" s="25">
        <f>IF(E200&gt;=D201,4,2+2/D201*E200)</f>
        <v>3</v>
      </c>
      <c r="H202" s="29"/>
    </row>
    <row r="203" spans="1:8" ht="15.95" customHeight="1" x14ac:dyDescent="0.25">
      <c r="C203" s="39"/>
      <c r="D203" s="70"/>
      <c r="H203" s="40"/>
    </row>
    <row r="204" spans="1:8" ht="43.35" hidden="1" customHeight="1" x14ac:dyDescent="0.25">
      <c r="A204" s="376"/>
      <c r="B204" s="360"/>
      <c r="C204" s="363"/>
      <c r="D204" s="363"/>
      <c r="E204" s="189"/>
      <c r="H204" s="210"/>
    </row>
    <row r="205" spans="1:8" ht="14.45" hidden="1" customHeight="1" x14ac:dyDescent="0.25">
      <c r="A205" s="377"/>
      <c r="B205" s="361"/>
      <c r="C205" s="367"/>
      <c r="D205" s="368"/>
      <c r="E205" s="117"/>
      <c r="G205" s="37"/>
      <c r="H205" s="29"/>
    </row>
    <row r="206" spans="1:8" ht="49.35" hidden="1" customHeight="1" x14ac:dyDescent="0.25">
      <c r="A206" s="377"/>
      <c r="B206" s="361"/>
      <c r="C206" s="367"/>
      <c r="D206" s="368"/>
      <c r="E206" s="117"/>
      <c r="G206" s="37"/>
      <c r="H206" s="29"/>
    </row>
    <row r="207" spans="1:8" ht="15.75" hidden="1" customHeight="1" x14ac:dyDescent="0.25">
      <c r="A207" s="377"/>
      <c r="B207" s="361"/>
      <c r="C207" s="367"/>
      <c r="D207" s="368"/>
      <c r="E207" s="190"/>
      <c r="G207" s="43"/>
      <c r="H207" s="29"/>
    </row>
    <row r="208" spans="1:8" ht="15.75" hidden="1" customHeight="1" x14ac:dyDescent="0.25">
      <c r="A208" s="377"/>
      <c r="B208" s="361"/>
      <c r="C208" s="124"/>
      <c r="D208" s="155"/>
      <c r="E208" s="154"/>
      <c r="G208" s="43"/>
      <c r="H208" s="29"/>
    </row>
    <row r="209" spans="1:8" ht="15" hidden="1" customHeight="1" x14ac:dyDescent="0.25">
      <c r="A209" s="378"/>
      <c r="B209" s="362"/>
      <c r="C209" s="379"/>
      <c r="D209" s="380"/>
      <c r="E209" s="118"/>
      <c r="H209" s="29"/>
    </row>
    <row r="210" spans="1:8" ht="15" hidden="1" customHeight="1" x14ac:dyDescent="0.25">
      <c r="C210" s="39"/>
      <c r="D210" s="70"/>
      <c r="H210" s="40"/>
    </row>
    <row r="211" spans="1:8" ht="33.75" customHeight="1" x14ac:dyDescent="0.25">
      <c r="A211" s="329">
        <v>19</v>
      </c>
      <c r="B211" s="343"/>
      <c r="C211" s="352" t="s">
        <v>190</v>
      </c>
      <c r="D211" s="352"/>
      <c r="E211" s="36"/>
      <c r="H211" s="210"/>
    </row>
    <row r="212" spans="1:8" x14ac:dyDescent="0.25">
      <c r="A212" s="330"/>
      <c r="B212" s="344"/>
      <c r="C212" s="327" t="s">
        <v>191</v>
      </c>
      <c r="D212" s="328"/>
      <c r="E212" s="58">
        <v>0</v>
      </c>
      <c r="F212" s="8" t="s">
        <v>94</v>
      </c>
      <c r="G212" s="37"/>
      <c r="H212" s="29"/>
    </row>
    <row r="213" spans="1:8" x14ac:dyDescent="0.25">
      <c r="A213" s="330"/>
      <c r="B213" s="344"/>
      <c r="C213" s="327" t="s">
        <v>192</v>
      </c>
      <c r="D213" s="328"/>
      <c r="E213" s="58">
        <v>2</v>
      </c>
      <c r="F213" s="8" t="s">
        <v>94</v>
      </c>
      <c r="G213" s="37"/>
      <c r="H213" s="29"/>
    </row>
    <row r="214" spans="1:8" x14ac:dyDescent="0.25">
      <c r="A214" s="330"/>
      <c r="B214" s="344"/>
      <c r="C214" s="327" t="s">
        <v>193</v>
      </c>
      <c r="D214" s="328"/>
      <c r="E214" s="58">
        <v>2</v>
      </c>
      <c r="F214" s="8" t="s">
        <v>94</v>
      </c>
      <c r="G214" s="37"/>
      <c r="H214" s="29"/>
    </row>
    <row r="215" spans="1:8" ht="50.45" customHeight="1" x14ac:dyDescent="0.25">
      <c r="A215" s="330"/>
      <c r="B215" s="344"/>
      <c r="C215" s="327" t="s">
        <v>97</v>
      </c>
      <c r="D215" s="328"/>
      <c r="E215" s="58">
        <v>4</v>
      </c>
      <c r="F215" s="8" t="s">
        <v>94</v>
      </c>
      <c r="G215" s="37"/>
      <c r="H215" s="29"/>
    </row>
    <row r="216" spans="1:8" ht="14.45" customHeight="1" x14ac:dyDescent="0.25">
      <c r="A216" s="330"/>
      <c r="B216" s="344"/>
      <c r="C216" s="327" t="s">
        <v>194</v>
      </c>
      <c r="D216" s="328"/>
      <c r="E216" s="56">
        <f>IF(E215&gt;0,(E212+E213+E214)/E215,0)</f>
        <v>1</v>
      </c>
      <c r="G216" s="42"/>
      <c r="H216" s="29"/>
    </row>
    <row r="217" spans="1:8" ht="14.45" hidden="1" customHeight="1" x14ac:dyDescent="0.25">
      <c r="A217" s="330"/>
      <c r="B217" s="344"/>
      <c r="C217" s="124" t="s">
        <v>152</v>
      </c>
      <c r="D217" s="155">
        <v>0.7</v>
      </c>
      <c r="E217" s="154"/>
      <c r="G217" s="42"/>
      <c r="H217" s="29"/>
    </row>
    <row r="218" spans="1:8" ht="15.95" customHeight="1" x14ac:dyDescent="0.25">
      <c r="A218" s="331"/>
      <c r="B218" s="345"/>
      <c r="C218" s="341" t="s">
        <v>34</v>
      </c>
      <c r="D218" s="342"/>
      <c r="E218" s="25">
        <f>IF(E216&gt;=D217,4,2+2/D217*E216)</f>
        <v>4</v>
      </c>
      <c r="H218" s="29"/>
    </row>
    <row r="219" spans="1:8" ht="15.95" customHeight="1" x14ac:dyDescent="0.25">
      <c r="C219" s="39"/>
      <c r="D219" s="70"/>
      <c r="H219" s="40"/>
    </row>
    <row r="220" spans="1:8" ht="43.35" customHeight="1" x14ac:dyDescent="0.25">
      <c r="A220" s="329">
        <v>20</v>
      </c>
      <c r="B220" s="343"/>
      <c r="C220" s="352" t="s">
        <v>195</v>
      </c>
      <c r="D220" s="352"/>
      <c r="E220" s="36"/>
      <c r="H220" s="210"/>
    </row>
    <row r="221" spans="1:8" ht="32.1" customHeight="1" x14ac:dyDescent="0.25">
      <c r="A221" s="330"/>
      <c r="B221" s="344"/>
      <c r="C221" s="141"/>
      <c r="D221" s="88" t="s">
        <v>196</v>
      </c>
      <c r="E221" s="98" t="s">
        <v>197</v>
      </c>
      <c r="H221" s="29"/>
    </row>
    <row r="222" spans="1:8" ht="14.45" hidden="1" customHeight="1" x14ac:dyDescent="0.25">
      <c r="A222" s="330"/>
      <c r="B222" s="344"/>
      <c r="C222" s="128"/>
      <c r="D222" s="129" t="s">
        <v>198</v>
      </c>
      <c r="E222" s="94" t="s">
        <v>197</v>
      </c>
      <c r="H222" s="29"/>
    </row>
    <row r="223" spans="1:8" ht="14.45" hidden="1" customHeight="1" x14ac:dyDescent="0.25">
      <c r="A223" s="330"/>
      <c r="B223" s="344"/>
      <c r="C223" s="128"/>
      <c r="D223" s="129" t="s">
        <v>199</v>
      </c>
      <c r="E223" s="94" t="s">
        <v>200</v>
      </c>
      <c r="H223" s="29"/>
    </row>
    <row r="224" spans="1:8" ht="14.45" hidden="1" customHeight="1" x14ac:dyDescent="0.25">
      <c r="A224" s="330"/>
      <c r="B224" s="344"/>
      <c r="C224" s="128"/>
      <c r="D224" s="129"/>
      <c r="E224" s="94"/>
      <c r="H224" s="29"/>
    </row>
    <row r="225" spans="1:8" ht="14.45" hidden="1" customHeight="1" x14ac:dyDescent="0.25">
      <c r="A225" s="330"/>
      <c r="B225" s="344"/>
      <c r="C225" s="128"/>
      <c r="D225" s="129"/>
      <c r="E225" s="94"/>
      <c r="H225" s="29"/>
    </row>
    <row r="226" spans="1:8" ht="14.45" customHeight="1" x14ac:dyDescent="0.25">
      <c r="A226" s="330"/>
      <c r="B226" s="344"/>
      <c r="C226" s="327" t="s">
        <v>201</v>
      </c>
      <c r="D226" s="328"/>
      <c r="E226" s="58">
        <v>218</v>
      </c>
      <c r="F226" s="8" t="s">
        <v>94</v>
      </c>
      <c r="G226" s="37"/>
      <c r="H226" s="29"/>
    </row>
    <row r="227" spans="1:8" ht="50.1" customHeight="1" x14ac:dyDescent="0.25">
      <c r="A227" s="330"/>
      <c r="B227" s="344"/>
      <c r="C227" s="327" t="s">
        <v>97</v>
      </c>
      <c r="D227" s="328"/>
      <c r="E227" s="58">
        <v>4</v>
      </c>
      <c r="F227" s="8" t="s">
        <v>94</v>
      </c>
      <c r="G227" s="44"/>
      <c r="H227" s="29"/>
    </row>
    <row r="228" spans="1:8" ht="15.75" customHeight="1" x14ac:dyDescent="0.25">
      <c r="A228" s="330"/>
      <c r="B228" s="344"/>
      <c r="C228" s="327" t="s">
        <v>202</v>
      </c>
      <c r="D228" s="328"/>
      <c r="E228" s="55">
        <f>IF(E227&gt;0,E226/E227,0)</f>
        <v>54.5</v>
      </c>
      <c r="G228" s="45"/>
      <c r="H228" s="29"/>
    </row>
    <row r="229" spans="1:8" ht="15.75" hidden="1" customHeight="1" x14ac:dyDescent="0.25">
      <c r="A229" s="330"/>
      <c r="B229" s="344"/>
      <c r="C229" s="381" t="s">
        <v>203</v>
      </c>
      <c r="D229" s="381"/>
      <c r="E229" s="122">
        <f>IF(E228&gt;D232,0,IF(E228&gt;D231,-4/(D232-D231)*(E228-D231)+4,IF(E228&gt;=D230,4,4/D230*E228)))</f>
        <v>0</v>
      </c>
      <c r="G229" s="45"/>
      <c r="H229" s="29"/>
    </row>
    <row r="230" spans="1:8" ht="15.75" hidden="1" customHeight="1" x14ac:dyDescent="0.25">
      <c r="A230" s="330"/>
      <c r="B230" s="344"/>
      <c r="C230" s="144" t="s">
        <v>185</v>
      </c>
      <c r="D230" s="144">
        <v>15</v>
      </c>
      <c r="E230" s="122"/>
      <c r="G230" s="45"/>
      <c r="H230" s="29"/>
    </row>
    <row r="231" spans="1:8" ht="15.75" hidden="1" customHeight="1" x14ac:dyDescent="0.25">
      <c r="A231" s="330"/>
      <c r="B231" s="344"/>
      <c r="C231" s="144" t="s">
        <v>186</v>
      </c>
      <c r="D231" s="144">
        <v>25</v>
      </c>
      <c r="E231" s="122"/>
      <c r="G231" s="45"/>
      <c r="H231" s="29"/>
    </row>
    <row r="232" spans="1:8" ht="15.75" hidden="1" customHeight="1" x14ac:dyDescent="0.25">
      <c r="A232" s="330"/>
      <c r="B232" s="344"/>
      <c r="C232" s="144" t="s">
        <v>204</v>
      </c>
      <c r="D232" s="144">
        <v>35</v>
      </c>
      <c r="E232" s="122"/>
      <c r="G232" s="45"/>
      <c r="H232" s="29"/>
    </row>
    <row r="233" spans="1:8" ht="15.75" hidden="1" customHeight="1" x14ac:dyDescent="0.25">
      <c r="A233" s="330"/>
      <c r="B233" s="344"/>
      <c r="C233" s="381" t="s">
        <v>205</v>
      </c>
      <c r="D233" s="381"/>
      <c r="E233" s="122">
        <f>IF(E228&gt;D236,0,IF(E228&gt;D235,-4/(D236-D235)*(E228-D235)+4,IF(E228&gt;=D234,4,4/D234*E228)))</f>
        <v>0</v>
      </c>
      <c r="G233" s="45"/>
      <c r="H233" s="29"/>
    </row>
    <row r="234" spans="1:8" ht="15.75" hidden="1" customHeight="1" x14ac:dyDescent="0.25">
      <c r="A234" s="330"/>
      <c r="B234" s="344"/>
      <c r="C234" s="124" t="s">
        <v>185</v>
      </c>
      <c r="D234" s="125">
        <v>25</v>
      </c>
      <c r="E234" s="130"/>
      <c r="G234" s="45"/>
      <c r="H234" s="29"/>
    </row>
    <row r="235" spans="1:8" ht="15.75" hidden="1" customHeight="1" x14ac:dyDescent="0.25">
      <c r="A235" s="330"/>
      <c r="B235" s="344"/>
      <c r="C235" s="124" t="s">
        <v>186</v>
      </c>
      <c r="D235" s="125">
        <v>35</v>
      </c>
      <c r="E235" s="130"/>
      <c r="G235" s="45"/>
      <c r="H235" s="29"/>
    </row>
    <row r="236" spans="1:8" ht="15.75" hidden="1" customHeight="1" x14ac:dyDescent="0.25">
      <c r="A236" s="330"/>
      <c r="B236" s="344"/>
      <c r="C236" s="124" t="s">
        <v>204</v>
      </c>
      <c r="D236" s="125">
        <v>50</v>
      </c>
      <c r="E236" s="130"/>
      <c r="G236" s="45"/>
      <c r="H236" s="29"/>
    </row>
    <row r="237" spans="1:8" ht="35.450000000000003" customHeight="1" x14ac:dyDescent="0.25">
      <c r="A237" s="330"/>
      <c r="B237" s="344"/>
      <c r="C237" s="384" t="s">
        <v>206</v>
      </c>
      <c r="D237" s="385"/>
      <c r="E237" s="191" t="str">
        <f>E143</f>
        <v>Tinggi</v>
      </c>
      <c r="G237" s="45"/>
      <c r="H237" s="29"/>
    </row>
    <row r="238" spans="1:8" ht="33.75" customHeight="1" x14ac:dyDescent="0.25">
      <c r="A238" s="330"/>
      <c r="B238" s="344"/>
      <c r="C238" s="341" t="s">
        <v>207</v>
      </c>
      <c r="D238" s="386"/>
      <c r="E238" s="387"/>
      <c r="G238" s="45"/>
      <c r="H238" s="29"/>
    </row>
    <row r="239" spans="1:8" ht="15.95" customHeight="1" x14ac:dyDescent="0.25">
      <c r="A239" s="331"/>
      <c r="B239" s="345"/>
      <c r="C239" s="382" t="s">
        <v>34</v>
      </c>
      <c r="D239" s="383"/>
      <c r="E239" s="184">
        <f>IF(E237="Tinggi",IF(E221="Saintek",E229,E233),E160)</f>
        <v>0</v>
      </c>
      <c r="G239" s="41"/>
      <c r="H239" s="29"/>
    </row>
    <row r="240" spans="1:8" ht="15.95" customHeight="1" x14ac:dyDescent="0.25">
      <c r="C240" s="39"/>
      <c r="D240" s="70"/>
      <c r="H240" s="40"/>
    </row>
    <row r="241" spans="1:8" ht="43.35" customHeight="1" x14ac:dyDescent="0.25">
      <c r="A241" s="329">
        <v>21</v>
      </c>
      <c r="B241" s="343"/>
      <c r="C241" s="352" t="s">
        <v>208</v>
      </c>
      <c r="D241" s="352"/>
      <c r="E241" s="36"/>
      <c r="H241" s="210"/>
    </row>
    <row r="242" spans="1:8" ht="33" customHeight="1" x14ac:dyDescent="0.25">
      <c r="A242" s="330"/>
      <c r="B242" s="344"/>
      <c r="C242" s="327" t="s">
        <v>209</v>
      </c>
      <c r="D242" s="328"/>
      <c r="E242" s="58">
        <v>5.3666666666667</v>
      </c>
      <c r="F242" s="8" t="s">
        <v>94</v>
      </c>
      <c r="G242" s="37"/>
      <c r="H242" s="29"/>
    </row>
    <row r="243" spans="1:8" x14ac:dyDescent="0.25">
      <c r="A243" s="330"/>
      <c r="B243" s="344"/>
      <c r="C243" s="327" t="s">
        <v>210</v>
      </c>
      <c r="D243" s="328"/>
      <c r="E243" s="58">
        <v>8</v>
      </c>
      <c r="F243" s="8" t="s">
        <v>94</v>
      </c>
      <c r="G243" s="37"/>
      <c r="H243" s="29"/>
    </row>
    <row r="244" spans="1:8" ht="15.75" customHeight="1" x14ac:dyDescent="0.25">
      <c r="A244" s="330"/>
      <c r="B244" s="344"/>
      <c r="C244" s="327" t="s">
        <v>211</v>
      </c>
      <c r="D244" s="328"/>
      <c r="E244" s="55">
        <f>(E242+E243)/2</f>
        <v>6.6833333333333496</v>
      </c>
      <c r="G244" s="43"/>
      <c r="H244" s="29"/>
    </row>
    <row r="245" spans="1:8" ht="15.75" hidden="1" customHeight="1" x14ac:dyDescent="0.25">
      <c r="A245" s="330"/>
      <c r="B245" s="344"/>
      <c r="C245" s="144" t="s">
        <v>185</v>
      </c>
      <c r="D245" s="144">
        <v>6</v>
      </c>
      <c r="E245" s="122"/>
      <c r="G245" s="45"/>
      <c r="H245" s="29"/>
    </row>
    <row r="246" spans="1:8" ht="15.75" hidden="1" customHeight="1" x14ac:dyDescent="0.25">
      <c r="A246" s="330"/>
      <c r="B246" s="344"/>
      <c r="C246" s="144" t="s">
        <v>186</v>
      </c>
      <c r="D246" s="144">
        <v>10</v>
      </c>
      <c r="E246" s="122"/>
      <c r="G246" s="45"/>
      <c r="H246" s="29"/>
    </row>
    <row r="247" spans="1:8" ht="15.95" customHeight="1" x14ac:dyDescent="0.25">
      <c r="A247" s="331"/>
      <c r="B247" s="345"/>
      <c r="C247" s="341" t="s">
        <v>34</v>
      </c>
      <c r="D247" s="342"/>
      <c r="E247" s="25">
        <f>IF(OR(E244=0,E244&gt;D246),0,IF(E244&gt;D245,-2/(D246-D245)*(E244-D245)+4,4))</f>
        <v>3.6583333333333252</v>
      </c>
      <c r="H247" s="29"/>
    </row>
    <row r="248" spans="1:8" ht="15.95" customHeight="1" x14ac:dyDescent="0.25">
      <c r="C248" s="39"/>
      <c r="D248" s="70"/>
      <c r="H248" s="40"/>
    </row>
    <row r="249" spans="1:8" ht="43.35" customHeight="1" x14ac:dyDescent="0.25">
      <c r="A249" s="329">
        <v>22</v>
      </c>
      <c r="B249" s="343"/>
      <c r="C249" s="352" t="s">
        <v>212</v>
      </c>
      <c r="D249" s="352"/>
      <c r="E249" s="36"/>
      <c r="H249" s="210"/>
    </row>
    <row r="250" spans="1:8" x14ac:dyDescent="0.25">
      <c r="A250" s="330"/>
      <c r="B250" s="344"/>
      <c r="C250" s="327" t="s">
        <v>213</v>
      </c>
      <c r="D250" s="328"/>
      <c r="E250" s="113">
        <v>6.6666666666666998</v>
      </c>
      <c r="F250" s="8" t="s">
        <v>94</v>
      </c>
      <c r="G250" s="37"/>
      <c r="H250" s="29"/>
    </row>
    <row r="251" spans="1:8" x14ac:dyDescent="0.25">
      <c r="A251" s="330"/>
      <c r="B251" s="344"/>
      <c r="C251" s="327" t="s">
        <v>214</v>
      </c>
      <c r="D251" s="328"/>
      <c r="E251" s="113">
        <v>6.6666666666666998</v>
      </c>
      <c r="F251" s="8" t="s">
        <v>94</v>
      </c>
      <c r="G251" s="37"/>
      <c r="H251" s="29"/>
    </row>
    <row r="252" spans="1:8" ht="15.75" customHeight="1" x14ac:dyDescent="0.25">
      <c r="A252" s="330"/>
      <c r="B252" s="344"/>
      <c r="C252" s="327" t="s">
        <v>215</v>
      </c>
      <c r="D252" s="328"/>
      <c r="E252" s="55">
        <f>E251</f>
        <v>6.6666666666666998</v>
      </c>
      <c r="G252" s="43"/>
      <c r="H252" s="29"/>
    </row>
    <row r="253" spans="1:8" ht="15.75" hidden="1" customHeight="1" x14ac:dyDescent="0.25">
      <c r="A253" s="330"/>
      <c r="B253" s="344"/>
      <c r="C253" s="144" t="s">
        <v>185</v>
      </c>
      <c r="D253" s="144">
        <v>6</v>
      </c>
      <c r="E253" s="122"/>
      <c r="G253" s="45"/>
      <c r="H253" s="29"/>
    </row>
    <row r="254" spans="1:8" ht="15.75" hidden="1" customHeight="1" x14ac:dyDescent="0.25">
      <c r="A254" s="330"/>
      <c r="B254" s="344"/>
      <c r="C254" s="144" t="s">
        <v>186</v>
      </c>
      <c r="D254" s="144">
        <v>12</v>
      </c>
      <c r="E254" s="122"/>
      <c r="G254" s="45"/>
      <c r="H254" s="29"/>
    </row>
    <row r="255" spans="1:8" ht="15.75" hidden="1" customHeight="1" x14ac:dyDescent="0.25">
      <c r="A255" s="330"/>
      <c r="B255" s="344"/>
      <c r="C255" s="144" t="s">
        <v>204</v>
      </c>
      <c r="D255" s="144">
        <v>16</v>
      </c>
      <c r="E255" s="122"/>
      <c r="G255" s="45"/>
      <c r="H255" s="29"/>
    </row>
    <row r="256" spans="1:8" ht="15.75" hidden="1" customHeight="1" x14ac:dyDescent="0.25">
      <c r="A256" s="330"/>
      <c r="B256" s="344"/>
      <c r="C256" s="156" t="s">
        <v>216</v>
      </c>
      <c r="D256" s="144">
        <v>18</v>
      </c>
      <c r="E256" s="122"/>
      <c r="G256" s="45"/>
      <c r="H256" s="29"/>
    </row>
    <row r="257" spans="1:8" ht="15.95" customHeight="1" x14ac:dyDescent="0.25">
      <c r="A257" s="331"/>
      <c r="B257" s="345"/>
      <c r="C257" s="341" t="s">
        <v>34</v>
      </c>
      <c r="D257" s="342"/>
      <c r="E257" s="25">
        <f>IF(E252&gt;D256,0,IF(E252&gt;=D255,-4/(D256-D255)*(E252-D255)+4,IF(E252&gt;=D254,4,IF(E252&gt;=D253,4/(D254-D253)*(E252-D253),0))))</f>
        <v>0.44444444444446651</v>
      </c>
      <c r="H257" s="29"/>
    </row>
    <row r="258" spans="1:8" ht="15.95" customHeight="1" x14ac:dyDescent="0.25">
      <c r="C258" s="39"/>
      <c r="D258" s="70"/>
      <c r="H258" s="40"/>
    </row>
    <row r="259" spans="1:8" ht="43.35" customHeight="1" x14ac:dyDescent="0.25">
      <c r="A259" s="329">
        <v>23</v>
      </c>
      <c r="B259" s="343"/>
      <c r="C259" s="352" t="s">
        <v>217</v>
      </c>
      <c r="D259" s="352"/>
      <c r="E259" s="36"/>
      <c r="H259" s="210"/>
    </row>
    <row r="260" spans="1:8" ht="32.450000000000003" customHeight="1" x14ac:dyDescent="0.25">
      <c r="A260" s="330"/>
      <c r="B260" s="344"/>
      <c r="C260" s="327" t="s">
        <v>218</v>
      </c>
      <c r="D260" s="328"/>
      <c r="E260" s="58">
        <v>4</v>
      </c>
      <c r="F260" s="8" t="s">
        <v>94</v>
      </c>
      <c r="G260" s="37"/>
      <c r="H260" s="29"/>
    </row>
    <row r="261" spans="1:8" ht="32.1" customHeight="1" x14ac:dyDescent="0.25">
      <c r="A261" s="330"/>
      <c r="B261" s="344"/>
      <c r="C261" s="327" t="s">
        <v>219</v>
      </c>
      <c r="D261" s="328"/>
      <c r="E261" s="58">
        <v>6</v>
      </c>
      <c r="F261" s="8" t="s">
        <v>94</v>
      </c>
      <c r="G261" s="37"/>
      <c r="H261" s="29"/>
    </row>
    <row r="262" spans="1:8" ht="15.75" customHeight="1" x14ac:dyDescent="0.25">
      <c r="A262" s="330"/>
      <c r="B262" s="344"/>
      <c r="C262" s="327" t="s">
        <v>220</v>
      </c>
      <c r="D262" s="328"/>
      <c r="E262" s="56">
        <f>IF((E260+E261)&gt;0,E260/(E260+E261),0)</f>
        <v>0.4</v>
      </c>
      <c r="G262" s="43"/>
      <c r="H262" s="29"/>
    </row>
    <row r="263" spans="1:8" ht="15.75" hidden="1" customHeight="1" x14ac:dyDescent="0.25">
      <c r="A263" s="330"/>
      <c r="B263" s="344"/>
      <c r="C263" s="144" t="s">
        <v>185</v>
      </c>
      <c r="D263" s="157">
        <v>0.1</v>
      </c>
      <c r="E263" s="122"/>
      <c r="G263" s="45"/>
      <c r="H263" s="29"/>
    </row>
    <row r="264" spans="1:8" ht="15.75" hidden="1" customHeight="1" x14ac:dyDescent="0.25">
      <c r="A264" s="330"/>
      <c r="B264" s="344"/>
      <c r="C264" s="144" t="s">
        <v>186</v>
      </c>
      <c r="D264" s="157">
        <v>0.4</v>
      </c>
      <c r="E264" s="122"/>
      <c r="G264" s="45"/>
      <c r="H264" s="29"/>
    </row>
    <row r="265" spans="1:8" ht="15.95" customHeight="1" x14ac:dyDescent="0.25">
      <c r="A265" s="331"/>
      <c r="B265" s="345"/>
      <c r="C265" s="341" t="s">
        <v>34</v>
      </c>
      <c r="D265" s="342"/>
      <c r="E265" s="25">
        <f>IF(E262&gt;D264,0,IF(E262&gt;D263,-4/(D264-D263)*(E262-D263)+4,4))</f>
        <v>0</v>
      </c>
      <c r="H265" s="29"/>
    </row>
    <row r="266" spans="1:8" ht="15.95" customHeight="1" x14ac:dyDescent="0.25">
      <c r="C266" s="39"/>
      <c r="D266" s="70"/>
      <c r="H266" s="40"/>
    </row>
    <row r="267" spans="1:8" ht="43.35" hidden="1" customHeight="1" x14ac:dyDescent="0.25">
      <c r="A267" s="376"/>
      <c r="B267" s="360"/>
      <c r="C267" s="363"/>
      <c r="D267" s="363"/>
      <c r="E267" s="189"/>
      <c r="H267" s="210"/>
    </row>
    <row r="268" spans="1:8" ht="32.450000000000003" hidden="1" customHeight="1" x14ac:dyDescent="0.25">
      <c r="A268" s="377"/>
      <c r="B268" s="361"/>
      <c r="C268" s="367"/>
      <c r="D268" s="368"/>
      <c r="E268" s="117"/>
      <c r="G268" s="37"/>
      <c r="H268" s="29"/>
    </row>
    <row r="269" spans="1:8" ht="14.45" hidden="1" customHeight="1" x14ac:dyDescent="0.25">
      <c r="A269" s="377"/>
      <c r="B269" s="361"/>
      <c r="C269" s="367"/>
      <c r="D269" s="368"/>
      <c r="E269" s="117"/>
      <c r="G269" s="37"/>
      <c r="H269" s="29"/>
    </row>
    <row r="270" spans="1:8" ht="15.75" hidden="1" customHeight="1" x14ac:dyDescent="0.25">
      <c r="A270" s="377"/>
      <c r="B270" s="361"/>
      <c r="C270" s="367"/>
      <c r="D270" s="368"/>
      <c r="E270" s="190"/>
      <c r="G270" s="43"/>
      <c r="H270" s="29"/>
    </row>
    <row r="271" spans="1:8" ht="15.75" hidden="1" customHeight="1" x14ac:dyDescent="0.25">
      <c r="A271" s="377"/>
      <c r="B271" s="361"/>
      <c r="C271" s="144"/>
      <c r="D271" s="157"/>
      <c r="E271" s="122"/>
      <c r="G271" s="45"/>
      <c r="H271" s="29"/>
    </row>
    <row r="272" spans="1:8" ht="15" hidden="1" customHeight="1" x14ac:dyDescent="0.25">
      <c r="A272" s="378"/>
      <c r="B272" s="362"/>
      <c r="C272" s="379"/>
      <c r="D272" s="380"/>
      <c r="E272" s="118"/>
      <c r="H272" s="29"/>
    </row>
    <row r="273" spans="1:8" ht="15" hidden="1" customHeight="1" x14ac:dyDescent="0.25">
      <c r="C273" s="39"/>
      <c r="D273" s="70"/>
      <c r="H273" s="40"/>
    </row>
    <row r="274" spans="1:8" ht="209.45" customHeight="1" x14ac:dyDescent="0.25">
      <c r="A274" s="329">
        <v>24</v>
      </c>
      <c r="B274" s="343" t="s">
        <v>221</v>
      </c>
      <c r="C274" s="352" t="s">
        <v>222</v>
      </c>
      <c r="D274" s="352"/>
      <c r="E274" s="36"/>
      <c r="H274" s="210"/>
    </row>
    <row r="275" spans="1:8" ht="32.450000000000003" customHeight="1" x14ac:dyDescent="0.25">
      <c r="A275" s="330"/>
      <c r="B275" s="344"/>
      <c r="C275" s="327" t="s">
        <v>223</v>
      </c>
      <c r="D275" s="328"/>
      <c r="E275" s="58">
        <v>0</v>
      </c>
      <c r="F275" s="8" t="s">
        <v>94</v>
      </c>
      <c r="G275" s="37"/>
      <c r="H275" s="29"/>
    </row>
    <row r="276" spans="1:8" ht="47.1" customHeight="1" x14ac:dyDescent="0.25">
      <c r="A276" s="330"/>
      <c r="B276" s="344"/>
      <c r="C276" s="327" t="s">
        <v>97</v>
      </c>
      <c r="D276" s="328"/>
      <c r="E276" s="58">
        <v>6</v>
      </c>
      <c r="F276" s="8" t="s">
        <v>94</v>
      </c>
      <c r="G276" s="37"/>
      <c r="H276" s="29"/>
    </row>
    <row r="277" spans="1:8" ht="15.75" customHeight="1" x14ac:dyDescent="0.25">
      <c r="A277" s="330"/>
      <c r="B277" s="344"/>
      <c r="C277" s="327" t="s">
        <v>224</v>
      </c>
      <c r="D277" s="328"/>
      <c r="E277" s="55">
        <f>IF(E276&gt;0,E275/E276,0)</f>
        <v>0</v>
      </c>
      <c r="G277" s="43"/>
      <c r="H277" s="29"/>
    </row>
    <row r="278" spans="1:8" ht="15.75" hidden="1" customHeight="1" x14ac:dyDescent="0.25">
      <c r="A278" s="330"/>
      <c r="B278" s="344"/>
      <c r="C278" s="144" t="s">
        <v>152</v>
      </c>
      <c r="D278" s="158">
        <v>0.5</v>
      </c>
      <c r="E278" s="122"/>
      <c r="G278" s="45"/>
      <c r="H278" s="29"/>
    </row>
    <row r="279" spans="1:8" ht="15.95" customHeight="1" x14ac:dyDescent="0.25">
      <c r="A279" s="331"/>
      <c r="B279" s="345"/>
      <c r="C279" s="341" t="s">
        <v>34</v>
      </c>
      <c r="D279" s="342"/>
      <c r="E279" s="25">
        <f>IF(E277&gt;=D278,4,2+2/D278*E277)</f>
        <v>2</v>
      </c>
      <c r="H279" s="29"/>
    </row>
    <row r="280" spans="1:8" ht="15.95" customHeight="1" x14ac:dyDescent="0.25">
      <c r="C280" s="39"/>
      <c r="D280" s="70"/>
      <c r="H280" s="40"/>
    </row>
    <row r="281" spans="1:8" ht="48" customHeight="1" x14ac:dyDescent="0.25">
      <c r="A281" s="329">
        <v>25</v>
      </c>
      <c r="B281" s="343"/>
      <c r="C281" s="352" t="s">
        <v>225</v>
      </c>
      <c r="D281" s="352"/>
      <c r="E281" s="46"/>
      <c r="H281" s="210"/>
    </row>
    <row r="282" spans="1:8" ht="31.35" customHeight="1" x14ac:dyDescent="0.25">
      <c r="A282" s="330"/>
      <c r="B282" s="344"/>
      <c r="C282" s="327" t="s">
        <v>226</v>
      </c>
      <c r="D282" s="328"/>
      <c r="E282" s="58">
        <v>0</v>
      </c>
      <c r="F282" s="8" t="s">
        <v>94</v>
      </c>
      <c r="G282" s="37"/>
      <c r="H282" s="29"/>
    </row>
    <row r="283" spans="1:8" ht="32.1" customHeight="1" x14ac:dyDescent="0.25">
      <c r="A283" s="330"/>
      <c r="B283" s="344"/>
      <c r="C283" s="327" t="s">
        <v>227</v>
      </c>
      <c r="D283" s="328"/>
      <c r="E283" s="58">
        <v>0</v>
      </c>
      <c r="F283" s="8" t="s">
        <v>94</v>
      </c>
      <c r="G283" s="37"/>
      <c r="H283" s="29"/>
    </row>
    <row r="284" spans="1:8" x14ac:dyDescent="0.25">
      <c r="A284" s="330"/>
      <c r="B284" s="344"/>
      <c r="C284" s="327" t="s">
        <v>228</v>
      </c>
      <c r="D284" s="328"/>
      <c r="E284" s="58">
        <v>36</v>
      </c>
      <c r="F284" s="8" t="s">
        <v>94</v>
      </c>
      <c r="G284" s="37"/>
      <c r="H284" s="29"/>
    </row>
    <row r="285" spans="1:8" ht="47.45" customHeight="1" x14ac:dyDescent="0.25">
      <c r="A285" s="330"/>
      <c r="B285" s="344"/>
      <c r="C285" s="327" t="s">
        <v>97</v>
      </c>
      <c r="D285" s="328"/>
      <c r="E285" s="58">
        <v>6</v>
      </c>
      <c r="F285" s="8" t="s">
        <v>94</v>
      </c>
      <c r="G285" s="37"/>
      <c r="H285" s="29"/>
    </row>
    <row r="286" spans="1:8" x14ac:dyDescent="0.25">
      <c r="A286" s="330"/>
      <c r="B286" s="344"/>
      <c r="C286" s="327" t="s">
        <v>229</v>
      </c>
      <c r="D286" s="328"/>
      <c r="E286" s="55">
        <f>IF(E285&gt;0,E282/3/E285,0)</f>
        <v>0</v>
      </c>
      <c r="G286" s="41"/>
      <c r="H286" s="29"/>
    </row>
    <row r="287" spans="1:8" ht="15.75" customHeight="1" x14ac:dyDescent="0.25">
      <c r="A287" s="330"/>
      <c r="B287" s="344"/>
      <c r="C287" s="327" t="s">
        <v>230</v>
      </c>
      <c r="D287" s="328"/>
      <c r="E287" s="55">
        <f>IF(E285&gt;0,E283/3/E285,0)</f>
        <v>0</v>
      </c>
      <c r="G287" s="41"/>
      <c r="H287" s="29"/>
    </row>
    <row r="288" spans="1:8" ht="15.75" customHeight="1" x14ac:dyDescent="0.25">
      <c r="A288" s="330"/>
      <c r="B288" s="344"/>
      <c r="C288" s="327" t="s">
        <v>231</v>
      </c>
      <c r="D288" s="328"/>
      <c r="E288" s="55">
        <f>IF(E285&gt;0,E284/3/E285,0)</f>
        <v>2</v>
      </c>
      <c r="G288" s="41"/>
      <c r="H288" s="29"/>
    </row>
    <row r="289" spans="1:8" ht="15.75" hidden="1" customHeight="1" x14ac:dyDescent="0.25">
      <c r="A289" s="330"/>
      <c r="B289" s="344"/>
      <c r="C289" s="144" t="s">
        <v>99</v>
      </c>
      <c r="D289" s="127">
        <v>0.05</v>
      </c>
      <c r="E289" s="122"/>
      <c r="G289" s="41"/>
      <c r="H289" s="29"/>
    </row>
    <row r="290" spans="1:8" ht="15.75" hidden="1" customHeight="1" x14ac:dyDescent="0.25">
      <c r="A290" s="330"/>
      <c r="B290" s="344"/>
      <c r="C290" s="144" t="s">
        <v>100</v>
      </c>
      <c r="D290" s="127">
        <v>0.3</v>
      </c>
      <c r="E290" s="122"/>
      <c r="G290" s="41"/>
      <c r="H290" s="29"/>
    </row>
    <row r="291" spans="1:8" ht="15.75" hidden="1" customHeight="1" x14ac:dyDescent="0.25">
      <c r="A291" s="330"/>
      <c r="B291" s="344"/>
      <c r="C291" s="144" t="s">
        <v>101</v>
      </c>
      <c r="D291" s="127">
        <v>1</v>
      </c>
      <c r="E291" s="122"/>
      <c r="G291" s="41"/>
      <c r="H291" s="29"/>
    </row>
    <row r="292" spans="1:8" ht="15.75" hidden="1" customHeight="1" x14ac:dyDescent="0.25">
      <c r="A292" s="330"/>
      <c r="B292" s="344"/>
      <c r="C292" s="124"/>
      <c r="D292" s="125" t="s">
        <v>232</v>
      </c>
      <c r="E292" s="126" t="str">
        <f>IF(E286&gt;=D289,"YES","NO")</f>
        <v>NO</v>
      </c>
      <c r="G292" s="41"/>
      <c r="H292" s="29"/>
    </row>
    <row r="293" spans="1:8" ht="15.75" hidden="1" customHeight="1" x14ac:dyDescent="0.25">
      <c r="A293" s="330"/>
      <c r="B293" s="344"/>
      <c r="C293" s="124"/>
      <c r="D293" s="125" t="s">
        <v>233</v>
      </c>
      <c r="E293" s="126" t="str">
        <f>IF(AND(E286&lt;D289,E287&gt;=D290),"YES","NO")</f>
        <v>NO</v>
      </c>
      <c r="G293" s="41"/>
      <c r="H293" s="29"/>
    </row>
    <row r="294" spans="1:8" ht="15.75" hidden="1" customHeight="1" x14ac:dyDescent="0.25">
      <c r="A294" s="330"/>
      <c r="B294" s="344"/>
      <c r="C294" s="124"/>
      <c r="D294" s="125" t="s">
        <v>234</v>
      </c>
      <c r="E294" s="126" t="str">
        <f>IF(OR(AND(E286&gt;0,E286&lt;D289,E287=0),AND(E287&gt;0,E287&lt;D290,E286=0),AND(E286&gt;0,E286&lt;D289,E287&gt;0,E287&lt;D290)),"YES","NO")</f>
        <v>NO</v>
      </c>
      <c r="G294" s="41"/>
      <c r="H294" s="29"/>
    </row>
    <row r="295" spans="1:8" ht="15.75" hidden="1" customHeight="1" x14ac:dyDescent="0.25">
      <c r="A295" s="330"/>
      <c r="B295" s="344"/>
      <c r="C295" s="124"/>
      <c r="D295" s="125" t="s">
        <v>235</v>
      </c>
      <c r="E295" s="126" t="str">
        <f>IF(AND(E286=0,E287=0,E288&gt;=D291),"YES","NO")</f>
        <v>YES</v>
      </c>
      <c r="G295" s="41"/>
      <c r="H295" s="29"/>
    </row>
    <row r="296" spans="1:8" ht="15.75" hidden="1" customHeight="1" x14ac:dyDescent="0.25">
      <c r="A296" s="330"/>
      <c r="B296" s="344"/>
      <c r="C296" s="124"/>
      <c r="D296" s="125" t="s">
        <v>236</v>
      </c>
      <c r="E296" s="126" t="str">
        <f>IF(AND(E286=0,E287=0,E288&lt;D291),"YES","NO")</f>
        <v>NO</v>
      </c>
      <c r="G296" s="41"/>
      <c r="H296" s="29"/>
    </row>
    <row r="297" spans="1:8" ht="15" customHeight="1" x14ac:dyDescent="0.25">
      <c r="A297" s="331"/>
      <c r="B297" s="345"/>
      <c r="C297" s="341" t="s">
        <v>34</v>
      </c>
      <c r="D297" s="342"/>
      <c r="E297" s="25">
        <f>IF(E292="YES",4,IF(E293="YES",3+E286/D289,IF(E294="YES",2+2*E286/D289+E287/D290-(E286*E287)/(D289*D290),IF(E295="YES",2,2*E288/D291))))</f>
        <v>2</v>
      </c>
      <c r="G297" s="38"/>
      <c r="H297" s="29"/>
    </row>
    <row r="298" spans="1:8" ht="15.95" customHeight="1" x14ac:dyDescent="0.25">
      <c r="C298" s="39"/>
      <c r="D298" s="70"/>
      <c r="H298" s="40"/>
    </row>
    <row r="299" spans="1:8" ht="48" customHeight="1" x14ac:dyDescent="0.25">
      <c r="A299" s="329">
        <v>26</v>
      </c>
      <c r="B299" s="343"/>
      <c r="C299" s="352" t="s">
        <v>237</v>
      </c>
      <c r="D299" s="352"/>
      <c r="E299" s="46"/>
      <c r="H299" s="210"/>
    </row>
    <row r="300" spans="1:8" ht="31.35" customHeight="1" x14ac:dyDescent="0.25">
      <c r="A300" s="330"/>
      <c r="B300" s="344"/>
      <c r="C300" s="327" t="s">
        <v>238</v>
      </c>
      <c r="D300" s="328"/>
      <c r="E300" s="58">
        <v>0</v>
      </c>
      <c r="F300" s="8" t="s">
        <v>94</v>
      </c>
      <c r="G300" s="37"/>
      <c r="H300" s="29"/>
    </row>
    <row r="301" spans="1:8" ht="32.1" customHeight="1" x14ac:dyDescent="0.25">
      <c r="A301" s="330"/>
      <c r="B301" s="344"/>
      <c r="C301" s="327" t="s">
        <v>239</v>
      </c>
      <c r="D301" s="328"/>
      <c r="E301" s="58">
        <v>0</v>
      </c>
      <c r="F301" s="8" t="s">
        <v>94</v>
      </c>
      <c r="G301" s="37"/>
      <c r="H301" s="29"/>
    </row>
    <row r="302" spans="1:8" x14ac:dyDescent="0.25">
      <c r="A302" s="330"/>
      <c r="B302" s="344"/>
      <c r="C302" s="327" t="s">
        <v>240</v>
      </c>
      <c r="D302" s="328"/>
      <c r="E302" s="58">
        <v>36</v>
      </c>
      <c r="F302" s="8" t="s">
        <v>94</v>
      </c>
      <c r="G302" s="37"/>
      <c r="H302" s="29"/>
    </row>
    <row r="303" spans="1:8" ht="47.45" customHeight="1" x14ac:dyDescent="0.25">
      <c r="A303" s="330"/>
      <c r="B303" s="344"/>
      <c r="C303" s="327" t="s">
        <v>97</v>
      </c>
      <c r="D303" s="328"/>
      <c r="E303" s="58">
        <v>6</v>
      </c>
      <c r="F303" s="8" t="s">
        <v>94</v>
      </c>
      <c r="G303" s="37"/>
      <c r="H303" s="29"/>
    </row>
    <row r="304" spans="1:8" x14ac:dyDescent="0.25">
      <c r="A304" s="330"/>
      <c r="B304" s="344"/>
      <c r="C304" s="327" t="s">
        <v>229</v>
      </c>
      <c r="D304" s="328"/>
      <c r="E304" s="55">
        <f>IF(E303&gt;0,E300/3/E303,0)</f>
        <v>0</v>
      </c>
      <c r="G304" s="41"/>
      <c r="H304" s="29"/>
    </row>
    <row r="305" spans="1:8" ht="15.75" customHeight="1" x14ac:dyDescent="0.25">
      <c r="A305" s="330"/>
      <c r="B305" s="344"/>
      <c r="C305" s="327" t="s">
        <v>230</v>
      </c>
      <c r="D305" s="328"/>
      <c r="E305" s="55">
        <f>IF(E303&gt;0,E301/3/E303,0)</f>
        <v>0</v>
      </c>
      <c r="G305" s="41"/>
      <c r="H305" s="29"/>
    </row>
    <row r="306" spans="1:8" ht="15.75" customHeight="1" x14ac:dyDescent="0.25">
      <c r="A306" s="330"/>
      <c r="B306" s="344"/>
      <c r="C306" s="327" t="s">
        <v>231</v>
      </c>
      <c r="D306" s="328"/>
      <c r="E306" s="55">
        <f>IF(E303&gt;0,E302/3/E303,0)</f>
        <v>2</v>
      </c>
      <c r="G306" s="41"/>
      <c r="H306" s="29"/>
    </row>
    <row r="307" spans="1:8" ht="15.75" hidden="1" customHeight="1" x14ac:dyDescent="0.25">
      <c r="A307" s="330"/>
      <c r="B307" s="344"/>
      <c r="C307" s="144" t="s">
        <v>99</v>
      </c>
      <c r="D307" s="127">
        <v>0.05</v>
      </c>
      <c r="E307" s="122"/>
      <c r="G307" s="41"/>
      <c r="H307" s="29"/>
    </row>
    <row r="308" spans="1:8" ht="15.75" hidden="1" customHeight="1" x14ac:dyDescent="0.25">
      <c r="A308" s="330"/>
      <c r="B308" s="344"/>
      <c r="C308" s="144" t="s">
        <v>100</v>
      </c>
      <c r="D308" s="127">
        <v>0.3</v>
      </c>
      <c r="E308" s="122"/>
      <c r="G308" s="41"/>
      <c r="H308" s="29"/>
    </row>
    <row r="309" spans="1:8" ht="15.75" hidden="1" customHeight="1" x14ac:dyDescent="0.25">
      <c r="A309" s="330"/>
      <c r="B309" s="344"/>
      <c r="C309" s="144" t="s">
        <v>101</v>
      </c>
      <c r="D309" s="127">
        <v>1</v>
      </c>
      <c r="E309" s="122"/>
      <c r="G309" s="41"/>
      <c r="H309" s="29"/>
    </row>
    <row r="310" spans="1:8" ht="15.75" hidden="1" customHeight="1" x14ac:dyDescent="0.25">
      <c r="A310" s="330"/>
      <c r="B310" s="344"/>
      <c r="C310" s="124"/>
      <c r="D310" s="125" t="s">
        <v>232</v>
      </c>
      <c r="E310" s="126" t="str">
        <f>IF(E304&gt;=D307,"YES","NO")</f>
        <v>NO</v>
      </c>
      <c r="G310" s="41"/>
      <c r="H310" s="29"/>
    </row>
    <row r="311" spans="1:8" ht="15.75" hidden="1" customHeight="1" x14ac:dyDescent="0.25">
      <c r="A311" s="330"/>
      <c r="B311" s="344"/>
      <c r="C311" s="124"/>
      <c r="D311" s="125" t="s">
        <v>233</v>
      </c>
      <c r="E311" s="126" t="str">
        <f>IF(AND(E304&lt;D307,E305&gt;=D308),"YES","NO")</f>
        <v>NO</v>
      </c>
      <c r="G311" s="41"/>
      <c r="H311" s="29"/>
    </row>
    <row r="312" spans="1:8" ht="15.75" hidden="1" customHeight="1" x14ac:dyDescent="0.25">
      <c r="A312" s="330"/>
      <c r="B312" s="344"/>
      <c r="C312" s="124"/>
      <c r="D312" s="125" t="s">
        <v>234</v>
      </c>
      <c r="E312" s="126" t="str">
        <f>IF(OR(AND(E304&gt;0,E304&lt;D307,E305=0),AND(E305&gt;0,E305&lt;D308,E304=0),AND(E304&gt;0,E304&lt;D307,E305&gt;0,E305&lt;D308)),"YES","NO")</f>
        <v>NO</v>
      </c>
      <c r="G312" s="41"/>
      <c r="H312" s="29"/>
    </row>
    <row r="313" spans="1:8" ht="15.75" hidden="1" customHeight="1" x14ac:dyDescent="0.25">
      <c r="A313" s="330"/>
      <c r="B313" s="344"/>
      <c r="C313" s="124"/>
      <c r="D313" s="125" t="s">
        <v>235</v>
      </c>
      <c r="E313" s="126" t="str">
        <f>IF(AND(E304=0,E305=0,E306&gt;=D309),"YES","NO")</f>
        <v>YES</v>
      </c>
      <c r="G313" s="41"/>
      <c r="H313" s="29"/>
    </row>
    <row r="314" spans="1:8" ht="15.75" hidden="1" customHeight="1" x14ac:dyDescent="0.25">
      <c r="A314" s="330"/>
      <c r="B314" s="344"/>
      <c r="C314" s="124"/>
      <c r="D314" s="125" t="s">
        <v>236</v>
      </c>
      <c r="E314" s="126" t="str">
        <f>IF(AND(E304=0,E305=0,E306&lt;D309),"YES","NO")</f>
        <v>NO</v>
      </c>
      <c r="G314" s="41"/>
      <c r="H314" s="29"/>
    </row>
    <row r="315" spans="1:8" ht="15" customHeight="1" x14ac:dyDescent="0.25">
      <c r="A315" s="331"/>
      <c r="B315" s="345"/>
      <c r="C315" s="341" t="s">
        <v>34</v>
      </c>
      <c r="D315" s="342"/>
      <c r="E315" s="25">
        <f>IF(E310="YES",4,IF(E311="YES",3+E304/D307,IF(E312="YES",2+2*E304/D307+E305/D308-(E304*E305)/(D307*D308),IF(E313="YES",2,2*E306/D309))))</f>
        <v>2</v>
      </c>
      <c r="G315" s="38"/>
      <c r="H315" s="29"/>
    </row>
    <row r="316" spans="1:8" ht="15.95" customHeight="1" x14ac:dyDescent="0.25">
      <c r="C316" s="39"/>
      <c r="D316" s="70"/>
      <c r="H316" s="40"/>
    </row>
    <row r="317" spans="1:8" ht="48" customHeight="1" x14ac:dyDescent="0.25">
      <c r="A317" s="329">
        <v>27</v>
      </c>
      <c r="B317" s="343"/>
      <c r="C317" s="352" t="s">
        <v>241</v>
      </c>
      <c r="D317" s="352"/>
      <c r="E317" s="46"/>
      <c r="H317" s="210"/>
    </row>
    <row r="318" spans="1:8" x14ac:dyDescent="0.25">
      <c r="A318" s="330"/>
      <c r="B318" s="344"/>
      <c r="C318" s="327" t="s">
        <v>242</v>
      </c>
      <c r="D318" s="328"/>
      <c r="E318" s="58">
        <v>16</v>
      </c>
      <c r="F318" s="8" t="s">
        <v>94</v>
      </c>
      <c r="G318" s="37"/>
      <c r="H318" s="29"/>
    </row>
    <row r="319" spans="1:8" x14ac:dyDescent="0.25">
      <c r="A319" s="330"/>
      <c r="B319" s="344"/>
      <c r="C319" s="327" t="s">
        <v>243</v>
      </c>
      <c r="D319" s="328"/>
      <c r="E319" s="58">
        <v>0</v>
      </c>
      <c r="F319" s="8" t="s">
        <v>94</v>
      </c>
      <c r="G319" s="37"/>
      <c r="H319" s="29"/>
    </row>
    <row r="320" spans="1:8" x14ac:dyDescent="0.25">
      <c r="A320" s="330"/>
      <c r="B320" s="344"/>
      <c r="C320" s="327" t="s">
        <v>244</v>
      </c>
      <c r="D320" s="328"/>
      <c r="E320" s="58">
        <v>0</v>
      </c>
      <c r="F320" s="8" t="s">
        <v>94</v>
      </c>
      <c r="G320" s="37"/>
      <c r="H320" s="29"/>
    </row>
    <row r="321" spans="1:8" x14ac:dyDescent="0.25">
      <c r="A321" s="330"/>
      <c r="B321" s="344"/>
      <c r="C321" s="327" t="s">
        <v>245</v>
      </c>
      <c r="D321" s="328"/>
      <c r="E321" s="58">
        <v>0</v>
      </c>
      <c r="F321" s="8" t="s">
        <v>94</v>
      </c>
      <c r="G321" s="37"/>
      <c r="H321" s="29"/>
    </row>
    <row r="322" spans="1:8" x14ac:dyDescent="0.25">
      <c r="A322" s="330"/>
      <c r="B322" s="344"/>
      <c r="C322" s="327" t="s">
        <v>246</v>
      </c>
      <c r="D322" s="328"/>
      <c r="E322" s="58">
        <v>56</v>
      </c>
      <c r="F322" s="8" t="s">
        <v>94</v>
      </c>
      <c r="G322" s="37"/>
      <c r="H322" s="29"/>
    </row>
    <row r="323" spans="1:8" x14ac:dyDescent="0.25">
      <c r="A323" s="330"/>
      <c r="B323" s="344"/>
      <c r="C323" s="327" t="s">
        <v>247</v>
      </c>
      <c r="D323" s="328"/>
      <c r="E323" s="58">
        <v>42</v>
      </c>
      <c r="F323" s="8" t="s">
        <v>94</v>
      </c>
      <c r="G323" s="37"/>
      <c r="H323" s="29"/>
    </row>
    <row r="324" spans="1:8" x14ac:dyDescent="0.25">
      <c r="A324" s="330"/>
      <c r="B324" s="344"/>
      <c r="C324" s="327" t="s">
        <v>248</v>
      </c>
      <c r="D324" s="328"/>
      <c r="E324" s="58">
        <v>35</v>
      </c>
      <c r="F324" s="8" t="s">
        <v>94</v>
      </c>
      <c r="G324" s="37"/>
      <c r="H324" s="29"/>
    </row>
    <row r="325" spans="1:8" ht="14.45" customHeight="1" x14ac:dyDescent="0.25">
      <c r="A325" s="330"/>
      <c r="B325" s="344"/>
      <c r="C325" s="327" t="s">
        <v>249</v>
      </c>
      <c r="D325" s="328"/>
      <c r="E325" s="58">
        <v>0</v>
      </c>
      <c r="F325" s="8" t="s">
        <v>94</v>
      </c>
      <c r="G325" s="37"/>
      <c r="H325" s="29"/>
    </row>
    <row r="326" spans="1:8" ht="14.45" customHeight="1" x14ac:dyDescent="0.25">
      <c r="A326" s="330"/>
      <c r="B326" s="344"/>
      <c r="C326" s="327" t="s">
        <v>250</v>
      </c>
      <c r="D326" s="328"/>
      <c r="E326" s="58">
        <v>0</v>
      </c>
      <c r="F326" s="8" t="s">
        <v>94</v>
      </c>
      <c r="G326" s="37"/>
      <c r="H326" s="29"/>
    </row>
    <row r="327" spans="1:8" ht="14.45" customHeight="1" x14ac:dyDescent="0.25">
      <c r="A327" s="330"/>
      <c r="B327" s="344"/>
      <c r="C327" s="327" t="s">
        <v>251</v>
      </c>
      <c r="D327" s="328"/>
      <c r="E327" s="58">
        <v>0</v>
      </c>
      <c r="F327" s="8" t="s">
        <v>94</v>
      </c>
      <c r="G327" s="37"/>
      <c r="H327" s="29"/>
    </row>
    <row r="328" spans="1:8" ht="47.45" customHeight="1" x14ac:dyDescent="0.25">
      <c r="A328" s="330"/>
      <c r="B328" s="344"/>
      <c r="C328" s="327" t="s">
        <v>97</v>
      </c>
      <c r="D328" s="328"/>
      <c r="E328" s="58">
        <v>6</v>
      </c>
      <c r="F328" s="8" t="s">
        <v>94</v>
      </c>
      <c r="G328" s="37"/>
      <c r="H328" s="29"/>
    </row>
    <row r="329" spans="1:8" x14ac:dyDescent="0.25">
      <c r="A329" s="330"/>
      <c r="B329" s="344"/>
      <c r="C329" s="327" t="s">
        <v>252</v>
      </c>
      <c r="D329" s="328"/>
      <c r="E329" s="55">
        <f>IF(E328&gt;0,(E321+E324+E327)/E328,0)</f>
        <v>5.833333333333333</v>
      </c>
      <c r="G329" s="41"/>
      <c r="H329" s="29"/>
    </row>
    <row r="330" spans="1:8" ht="15.75" customHeight="1" x14ac:dyDescent="0.25">
      <c r="A330" s="330"/>
      <c r="B330" s="344"/>
      <c r="C330" s="327" t="s">
        <v>253</v>
      </c>
      <c r="D330" s="328"/>
      <c r="E330" s="55">
        <f>IF(E328&gt;0,(E319+E320+E323+E326)/E328,0)</f>
        <v>7</v>
      </c>
      <c r="G330" s="41"/>
      <c r="H330" s="29"/>
    </row>
    <row r="331" spans="1:8" ht="15.75" customHeight="1" x14ac:dyDescent="0.25">
      <c r="A331" s="330"/>
      <c r="B331" s="344"/>
      <c r="C331" s="327" t="s">
        <v>254</v>
      </c>
      <c r="D331" s="328"/>
      <c r="E331" s="55">
        <f>IF(E328&gt;0,(E322+E325+E318)/E328,0)</f>
        <v>12</v>
      </c>
      <c r="G331" s="41"/>
      <c r="H331" s="29"/>
    </row>
    <row r="332" spans="1:8" ht="15.75" hidden="1" customHeight="1" x14ac:dyDescent="0.25">
      <c r="A332" s="330"/>
      <c r="B332" s="344"/>
      <c r="C332" s="144" t="s">
        <v>99</v>
      </c>
      <c r="D332" s="127">
        <v>0.1</v>
      </c>
      <c r="E332" s="122"/>
      <c r="G332" s="41"/>
      <c r="H332" s="29"/>
    </row>
    <row r="333" spans="1:8" ht="15.75" hidden="1" customHeight="1" x14ac:dyDescent="0.25">
      <c r="A333" s="330"/>
      <c r="B333" s="344"/>
      <c r="C333" s="144" t="s">
        <v>100</v>
      </c>
      <c r="D333" s="127">
        <v>1</v>
      </c>
      <c r="E333" s="122"/>
      <c r="G333" s="41"/>
      <c r="H333" s="29"/>
    </row>
    <row r="334" spans="1:8" ht="15.75" hidden="1" customHeight="1" x14ac:dyDescent="0.25">
      <c r="A334" s="330"/>
      <c r="B334" s="344"/>
      <c r="C334" s="144" t="s">
        <v>101</v>
      </c>
      <c r="D334" s="127">
        <v>2</v>
      </c>
      <c r="E334" s="122"/>
      <c r="G334" s="41"/>
      <c r="H334" s="29"/>
    </row>
    <row r="335" spans="1:8" ht="15.75" hidden="1" customHeight="1" x14ac:dyDescent="0.25">
      <c r="A335" s="330"/>
      <c r="B335" s="344"/>
      <c r="C335" s="124"/>
      <c r="D335" s="125" t="s">
        <v>232</v>
      </c>
      <c r="E335" s="126" t="str">
        <f>IF(E329&gt;=D332,"YES","NO")</f>
        <v>YES</v>
      </c>
      <c r="G335" s="41"/>
      <c r="H335" s="29"/>
    </row>
    <row r="336" spans="1:8" ht="15.75" hidden="1" customHeight="1" x14ac:dyDescent="0.25">
      <c r="A336" s="330"/>
      <c r="B336" s="344"/>
      <c r="C336" s="124"/>
      <c r="D336" s="125" t="s">
        <v>233</v>
      </c>
      <c r="E336" s="126" t="str">
        <f>IF(AND(E329&lt;D332,E330&gt;=D333),"YES","NO")</f>
        <v>NO</v>
      </c>
      <c r="G336" s="41"/>
      <c r="H336" s="29"/>
    </row>
    <row r="337" spans="1:8" ht="15.75" hidden="1" customHeight="1" x14ac:dyDescent="0.25">
      <c r="A337" s="330"/>
      <c r="B337" s="344"/>
      <c r="C337" s="124"/>
      <c r="D337" s="125" t="s">
        <v>234</v>
      </c>
      <c r="E337" s="126" t="str">
        <f>IF(OR(AND(E329&gt;0,E329&lt;D332,E330=0),AND(E330&gt;0,E330&lt;D333,E329=0),AND(E329&gt;0,E329&lt;D332,E330&gt;0,E330&lt;D333)),"YES","NO")</f>
        <v>NO</v>
      </c>
      <c r="G337" s="41"/>
      <c r="H337" s="29"/>
    </row>
    <row r="338" spans="1:8" ht="15.75" hidden="1" customHeight="1" x14ac:dyDescent="0.25">
      <c r="A338" s="330"/>
      <c r="B338" s="344"/>
      <c r="C338" s="124"/>
      <c r="D338" s="125" t="s">
        <v>235</v>
      </c>
      <c r="E338" s="126" t="str">
        <f>IF(AND(E329=0,E330=0,E331&gt;=D334),"YES","NO")</f>
        <v>NO</v>
      </c>
      <c r="G338" s="41"/>
      <c r="H338" s="29"/>
    </row>
    <row r="339" spans="1:8" ht="15.75" hidden="1" customHeight="1" x14ac:dyDescent="0.25">
      <c r="A339" s="330"/>
      <c r="B339" s="344"/>
      <c r="C339" s="124"/>
      <c r="D339" s="125" t="s">
        <v>236</v>
      </c>
      <c r="E339" s="126" t="str">
        <f>IF(AND(E329=0,E330=0,E331&lt;D334),"YES","NO")</f>
        <v>NO</v>
      </c>
      <c r="G339" s="41"/>
      <c r="H339" s="29"/>
    </row>
    <row r="340" spans="1:8" ht="15" customHeight="1" x14ac:dyDescent="0.25">
      <c r="A340" s="331"/>
      <c r="B340" s="345"/>
      <c r="C340" s="341" t="s">
        <v>34</v>
      </c>
      <c r="D340" s="342"/>
      <c r="E340" s="25">
        <f>IF(E335="YES",4,IF(E336="YES",3+E329/D332,IF(E337="YES",2+2*E329/D332+E330/D333-(E329*E330)/(D332*D333),IF(E338="YES",2,2*E331/D334))))</f>
        <v>4</v>
      </c>
      <c r="G340" s="38"/>
      <c r="H340" s="29"/>
    </row>
    <row r="341" spans="1:8" ht="15.95" customHeight="1" x14ac:dyDescent="0.25">
      <c r="C341" s="39"/>
      <c r="D341" s="70"/>
      <c r="H341" s="40"/>
    </row>
    <row r="342" spans="1:8" ht="36" customHeight="1" x14ac:dyDescent="0.25">
      <c r="A342" s="329">
        <v>28</v>
      </c>
      <c r="B342" s="343"/>
      <c r="C342" s="352" t="s">
        <v>255</v>
      </c>
      <c r="D342" s="352"/>
      <c r="E342" s="101"/>
      <c r="H342" s="210"/>
    </row>
    <row r="343" spans="1:8" ht="14.45" customHeight="1" x14ac:dyDescent="0.25">
      <c r="A343" s="330"/>
      <c r="B343" s="344"/>
      <c r="C343" s="327" t="s">
        <v>256</v>
      </c>
      <c r="D343" s="328"/>
      <c r="E343" s="58">
        <v>6</v>
      </c>
      <c r="F343" s="8" t="s">
        <v>94</v>
      </c>
      <c r="G343" s="37"/>
      <c r="H343" s="29"/>
    </row>
    <row r="344" spans="1:8" ht="48" customHeight="1" x14ac:dyDescent="0.25">
      <c r="A344" s="330"/>
      <c r="B344" s="344"/>
      <c r="C344" s="327" t="s">
        <v>97</v>
      </c>
      <c r="D344" s="328"/>
      <c r="E344" s="58">
        <v>6</v>
      </c>
      <c r="F344" s="8" t="s">
        <v>94</v>
      </c>
      <c r="G344" s="37"/>
      <c r="H344" s="29"/>
    </row>
    <row r="345" spans="1:8" ht="14.45" customHeight="1" x14ac:dyDescent="0.25">
      <c r="A345" s="330"/>
      <c r="B345" s="344"/>
      <c r="C345" s="327" t="s">
        <v>257</v>
      </c>
      <c r="D345" s="328"/>
      <c r="E345" s="99">
        <f>IF(E344&gt;0,E343/E344,0)</f>
        <v>1</v>
      </c>
      <c r="G345" s="37"/>
      <c r="H345" s="29"/>
    </row>
    <row r="346" spans="1:8" ht="14.45" hidden="1" customHeight="1" x14ac:dyDescent="0.25">
      <c r="A346" s="330"/>
      <c r="B346" s="344"/>
      <c r="C346" s="124" t="s">
        <v>152</v>
      </c>
      <c r="D346" s="125">
        <v>0.5</v>
      </c>
      <c r="E346" s="193"/>
      <c r="G346" s="37"/>
      <c r="H346" s="29"/>
    </row>
    <row r="347" spans="1:8" ht="15.95" customHeight="1" x14ac:dyDescent="0.25">
      <c r="A347" s="331"/>
      <c r="B347" s="345"/>
      <c r="C347" s="341" t="s">
        <v>34</v>
      </c>
      <c r="D347" s="342"/>
      <c r="E347" s="192">
        <f>IF(E345&gt;=D346,4,2+2/D346*E345)</f>
        <v>4</v>
      </c>
      <c r="G347" s="38"/>
      <c r="H347" s="29"/>
    </row>
    <row r="348" spans="1:8" ht="15.95" customHeight="1" x14ac:dyDescent="0.25">
      <c r="C348" s="39"/>
      <c r="D348" s="70"/>
      <c r="H348" s="40"/>
    </row>
    <row r="349" spans="1:8" ht="48.75" hidden="1" customHeight="1" x14ac:dyDescent="0.25">
      <c r="A349" s="376"/>
      <c r="B349" s="360"/>
      <c r="C349" s="363"/>
      <c r="D349" s="363"/>
      <c r="E349" s="194"/>
      <c r="H349" s="210"/>
    </row>
    <row r="350" spans="1:8" ht="34.35" hidden="1" customHeight="1" x14ac:dyDescent="0.25">
      <c r="A350" s="377"/>
      <c r="B350" s="361"/>
      <c r="C350" s="367"/>
      <c r="D350" s="368"/>
      <c r="E350" s="195"/>
      <c r="G350" s="37"/>
      <c r="H350" s="29"/>
    </row>
    <row r="351" spans="1:8" ht="48" hidden="1" customHeight="1" x14ac:dyDescent="0.25">
      <c r="A351" s="377"/>
      <c r="B351" s="361"/>
      <c r="C351" s="367"/>
      <c r="D351" s="368"/>
      <c r="E351" s="195"/>
      <c r="G351" s="37"/>
      <c r="H351" s="29"/>
    </row>
    <row r="352" spans="1:8" ht="14.45" hidden="1" customHeight="1" x14ac:dyDescent="0.25">
      <c r="A352" s="377"/>
      <c r="B352" s="361"/>
      <c r="C352" s="367"/>
      <c r="D352" s="368"/>
      <c r="E352" s="185"/>
      <c r="G352" s="37"/>
      <c r="H352" s="29"/>
    </row>
    <row r="353" spans="1:8" ht="15.75" hidden="1" customHeight="1" x14ac:dyDescent="0.25">
      <c r="A353" s="377"/>
      <c r="B353" s="361"/>
      <c r="C353" s="144"/>
      <c r="D353" s="127"/>
      <c r="E353" s="122"/>
      <c r="G353" s="41"/>
      <c r="H353" s="29"/>
    </row>
    <row r="354" spans="1:8" ht="15" hidden="1" customHeight="1" x14ac:dyDescent="0.25">
      <c r="A354" s="378"/>
      <c r="B354" s="362"/>
      <c r="C354" s="379"/>
      <c r="D354" s="380"/>
      <c r="E354" s="118"/>
      <c r="G354" s="38"/>
      <c r="H354" s="29"/>
    </row>
    <row r="355" spans="1:8" ht="15" hidden="1" customHeight="1" x14ac:dyDescent="0.25">
      <c r="C355" s="39"/>
      <c r="D355" s="70"/>
      <c r="H355" s="40"/>
    </row>
    <row r="356" spans="1:8" ht="37.35" customHeight="1" x14ac:dyDescent="0.25">
      <c r="A356" s="329">
        <v>29</v>
      </c>
      <c r="B356" s="343"/>
      <c r="C356" s="352" t="s">
        <v>258</v>
      </c>
      <c r="D356" s="352"/>
      <c r="E356" s="36"/>
      <c r="H356" s="210"/>
    </row>
    <row r="357" spans="1:8" ht="29.25" customHeight="1" x14ac:dyDescent="0.25">
      <c r="A357" s="330"/>
      <c r="B357" s="344"/>
      <c r="C357" s="327" t="s">
        <v>259</v>
      </c>
      <c r="D357" s="328"/>
      <c r="E357" s="58">
        <v>0</v>
      </c>
      <c r="F357" s="8" t="s">
        <v>94</v>
      </c>
      <c r="G357" s="37"/>
      <c r="H357" s="29"/>
    </row>
    <row r="358" spans="1:8" ht="44.25" customHeight="1" x14ac:dyDescent="0.25">
      <c r="A358" s="330"/>
      <c r="B358" s="344"/>
      <c r="C358" s="327" t="s">
        <v>260</v>
      </c>
      <c r="D358" s="328"/>
      <c r="E358" s="58">
        <v>0</v>
      </c>
      <c r="F358" s="8" t="s">
        <v>94</v>
      </c>
      <c r="G358" s="37"/>
      <c r="H358" s="29"/>
    </row>
    <row r="359" spans="1:8" ht="43.5" customHeight="1" x14ac:dyDescent="0.25">
      <c r="A359" s="330"/>
      <c r="B359" s="344"/>
      <c r="C359" s="327" t="s">
        <v>261</v>
      </c>
      <c r="D359" s="328"/>
      <c r="E359" s="58">
        <v>0</v>
      </c>
      <c r="F359" s="8" t="s">
        <v>94</v>
      </c>
      <c r="G359" s="37"/>
      <c r="H359" s="29"/>
    </row>
    <row r="360" spans="1:8" ht="29.25" customHeight="1" x14ac:dyDescent="0.25">
      <c r="A360" s="330"/>
      <c r="B360" s="344"/>
      <c r="C360" s="327" t="s">
        <v>262</v>
      </c>
      <c r="D360" s="328"/>
      <c r="E360" s="58">
        <v>0</v>
      </c>
      <c r="F360" s="8" t="s">
        <v>94</v>
      </c>
      <c r="G360" s="37"/>
      <c r="H360" s="29"/>
    </row>
    <row r="361" spans="1:8" ht="48" customHeight="1" x14ac:dyDescent="0.25">
      <c r="A361" s="330"/>
      <c r="B361" s="344"/>
      <c r="C361" s="327" t="s">
        <v>97</v>
      </c>
      <c r="D361" s="328"/>
      <c r="E361" s="58">
        <v>6</v>
      </c>
      <c r="F361" s="8" t="s">
        <v>94</v>
      </c>
      <c r="G361" s="37"/>
      <c r="H361" s="29"/>
    </row>
    <row r="362" spans="1:8" x14ac:dyDescent="0.25">
      <c r="A362" s="330"/>
      <c r="B362" s="344"/>
      <c r="C362" s="327" t="s">
        <v>263</v>
      </c>
      <c r="D362" s="328"/>
      <c r="E362" s="55">
        <f>IF(E361&gt;0,(2*(E357+E358+E359)+E360)/E361,0)</f>
        <v>0</v>
      </c>
      <c r="G362" s="37"/>
      <c r="H362" s="29"/>
    </row>
    <row r="363" spans="1:8" ht="15.75" hidden="1" customHeight="1" x14ac:dyDescent="0.25">
      <c r="A363" s="330"/>
      <c r="B363" s="344"/>
      <c r="C363" s="144" t="s">
        <v>100</v>
      </c>
      <c r="D363" s="127">
        <v>1</v>
      </c>
      <c r="E363" s="122"/>
      <c r="G363" s="41"/>
      <c r="H363" s="29"/>
    </row>
    <row r="364" spans="1:8" ht="15.95" customHeight="1" x14ac:dyDescent="0.25">
      <c r="A364" s="331"/>
      <c r="B364" s="345"/>
      <c r="C364" s="341" t="s">
        <v>34</v>
      </c>
      <c r="D364" s="342"/>
      <c r="E364" s="25">
        <f>IF(E362&gt;=D363,4,2+2/D363*E362)</f>
        <v>2</v>
      </c>
      <c r="G364" s="38"/>
      <c r="H364" s="29"/>
    </row>
    <row r="365" spans="1:8" ht="15.95" customHeight="1" x14ac:dyDescent="0.25">
      <c r="C365" s="39"/>
      <c r="D365" s="70"/>
      <c r="H365" s="40"/>
    </row>
    <row r="366" spans="1:8" ht="50.25" customHeight="1" x14ac:dyDescent="0.25">
      <c r="A366" s="329">
        <v>30</v>
      </c>
      <c r="B366" s="343" t="s">
        <v>264</v>
      </c>
      <c r="C366" s="335" t="s">
        <v>265</v>
      </c>
      <c r="D366" s="336"/>
      <c r="E366" s="21"/>
      <c r="F366" s="8" t="str">
        <f>IF(OR(ISBLANK(E366),E366&gt;4),"Salah isi","judge")</f>
        <v>Salah isi</v>
      </c>
      <c r="H366" s="210"/>
    </row>
    <row r="367" spans="1:8" x14ac:dyDescent="0.25">
      <c r="A367" s="330"/>
      <c r="B367" s="344"/>
      <c r="C367" s="327" t="s">
        <v>266</v>
      </c>
      <c r="D367" s="328"/>
      <c r="E367" s="102">
        <f>AVERAGE(E195,E202,E209,E218,E239,E247,E257,E265,E272)</f>
        <v>1.967063492063494</v>
      </c>
      <c r="H367" s="29"/>
    </row>
    <row r="368" spans="1:8" ht="32.1" customHeight="1" x14ac:dyDescent="0.25">
      <c r="A368" s="330"/>
      <c r="B368" s="344"/>
      <c r="C368" s="22">
        <v>4</v>
      </c>
      <c r="D368" s="62" t="s">
        <v>267</v>
      </c>
      <c r="E368" s="23"/>
      <c r="H368" s="29"/>
    </row>
    <row r="369" spans="1:8" ht="32.1" customHeight="1" x14ac:dyDescent="0.25">
      <c r="A369" s="330"/>
      <c r="B369" s="344"/>
      <c r="C369" s="22">
        <v>3</v>
      </c>
      <c r="D369" s="62" t="s">
        <v>268</v>
      </c>
      <c r="E369" s="23"/>
      <c r="H369" s="29"/>
    </row>
    <row r="370" spans="1:8" ht="32.1" customHeight="1" x14ac:dyDescent="0.25">
      <c r="A370" s="330"/>
      <c r="B370" s="344"/>
      <c r="C370" s="22">
        <v>2</v>
      </c>
      <c r="D370" s="62" t="s">
        <v>269</v>
      </c>
      <c r="E370" s="23"/>
      <c r="H370" s="29"/>
    </row>
    <row r="371" spans="1:8" ht="32.1" customHeight="1" x14ac:dyDescent="0.25">
      <c r="A371" s="330"/>
      <c r="B371" s="344"/>
      <c r="C371" s="22">
        <v>1</v>
      </c>
      <c r="D371" s="62" t="s">
        <v>270</v>
      </c>
      <c r="E371" s="23"/>
      <c r="H371" s="29"/>
    </row>
    <row r="372" spans="1:8" ht="32.1" customHeight="1" x14ac:dyDescent="0.25">
      <c r="A372" s="330"/>
      <c r="B372" s="344"/>
      <c r="C372" s="22">
        <v>0</v>
      </c>
      <c r="D372" s="62" t="s">
        <v>271</v>
      </c>
      <c r="E372" s="24"/>
      <c r="H372" s="29"/>
    </row>
    <row r="373" spans="1:8" ht="15" customHeight="1" x14ac:dyDescent="0.25">
      <c r="A373" s="331"/>
      <c r="B373" s="345"/>
      <c r="C373" s="337" t="s">
        <v>34</v>
      </c>
      <c r="D373" s="338"/>
      <c r="E373" s="25">
        <f>IF(F366="Salah isi",0,IF(E367&gt;=3.5,4,E366))</f>
        <v>0</v>
      </c>
      <c r="H373" s="29"/>
    </row>
    <row r="374" spans="1:8" ht="15" customHeight="1" x14ac:dyDescent="0.25">
      <c r="A374" s="26"/>
      <c r="B374" s="26"/>
      <c r="C374" s="27"/>
      <c r="D374" s="64"/>
      <c r="E374" s="28"/>
      <c r="H374" s="29"/>
    </row>
    <row r="375" spans="1:8" ht="98.1" customHeight="1" x14ac:dyDescent="0.25">
      <c r="A375" s="329">
        <v>31</v>
      </c>
      <c r="B375" s="343" t="s">
        <v>272</v>
      </c>
      <c r="C375" s="335" t="s">
        <v>273</v>
      </c>
      <c r="D375" s="369"/>
      <c r="E375" s="21"/>
      <c r="F375" s="8" t="str">
        <f>IF(OR(ISBLANK(E375),E375&gt;4),"Salah isi","judge")</f>
        <v>Salah isi</v>
      </c>
      <c r="H375" s="210"/>
    </row>
    <row r="376" spans="1:8" ht="63.95" customHeight="1" x14ac:dyDescent="0.25">
      <c r="A376" s="330"/>
      <c r="B376" s="344"/>
      <c r="C376" s="30">
        <v>4</v>
      </c>
      <c r="D376" s="68" t="s">
        <v>274</v>
      </c>
      <c r="E376" s="31"/>
      <c r="H376" s="29"/>
    </row>
    <row r="377" spans="1:8" ht="48" customHeight="1" x14ac:dyDescent="0.25">
      <c r="A377" s="330"/>
      <c r="B377" s="344"/>
      <c r="C377" s="30">
        <v>3</v>
      </c>
      <c r="D377" s="68" t="s">
        <v>275</v>
      </c>
      <c r="E377" s="31"/>
      <c r="H377" s="29"/>
    </row>
    <row r="378" spans="1:8" ht="48" customHeight="1" x14ac:dyDescent="0.25">
      <c r="A378" s="330"/>
      <c r="B378" s="344"/>
      <c r="C378" s="30">
        <v>2</v>
      </c>
      <c r="D378" s="68" t="s">
        <v>276</v>
      </c>
      <c r="E378" s="31"/>
      <c r="H378" s="29"/>
    </row>
    <row r="379" spans="1:8" ht="48" customHeight="1" x14ac:dyDescent="0.25">
      <c r="A379" s="330"/>
      <c r="B379" s="344"/>
      <c r="C379" s="30">
        <v>1</v>
      </c>
      <c r="D379" s="71" t="s">
        <v>277</v>
      </c>
      <c r="E379" s="31"/>
      <c r="H379" s="29"/>
    </row>
    <row r="380" spans="1:8" ht="32.1" customHeight="1" x14ac:dyDescent="0.25">
      <c r="A380" s="330"/>
      <c r="B380" s="344"/>
      <c r="C380" s="90">
        <v>0</v>
      </c>
      <c r="D380" s="91" t="s">
        <v>278</v>
      </c>
      <c r="E380" s="92"/>
      <c r="H380" s="29"/>
    </row>
    <row r="381" spans="1:8" ht="42" customHeight="1" x14ac:dyDescent="0.25">
      <c r="A381" s="330"/>
      <c r="B381" s="344"/>
      <c r="C381" s="327" t="s">
        <v>279</v>
      </c>
      <c r="D381" s="328"/>
      <c r="E381" s="93"/>
      <c r="F381" s="8" t="str">
        <f>IF(OR(ISBLANK(E381),E381&gt;4),"Salah isi","judge")</f>
        <v>Salah isi</v>
      </c>
      <c r="H381" s="29"/>
    </row>
    <row r="382" spans="1:8" ht="63.95" customHeight="1" x14ac:dyDescent="0.25">
      <c r="A382" s="330"/>
      <c r="B382" s="344"/>
      <c r="C382" s="30">
        <v>4</v>
      </c>
      <c r="D382" s="68" t="s">
        <v>280</v>
      </c>
      <c r="E382" s="31"/>
      <c r="H382" s="29"/>
    </row>
    <row r="383" spans="1:8" ht="63.95" customHeight="1" x14ac:dyDescent="0.25">
      <c r="A383" s="330"/>
      <c r="B383" s="344"/>
      <c r="C383" s="30">
        <v>3</v>
      </c>
      <c r="D383" s="68" t="s">
        <v>281</v>
      </c>
      <c r="E383" s="31"/>
      <c r="H383" s="29"/>
    </row>
    <row r="384" spans="1:8" ht="48" customHeight="1" x14ac:dyDescent="0.25">
      <c r="A384" s="330"/>
      <c r="B384" s="344"/>
      <c r="C384" s="30">
        <v>2</v>
      </c>
      <c r="D384" s="68" t="s">
        <v>282</v>
      </c>
      <c r="E384" s="31"/>
      <c r="H384" s="29"/>
    </row>
    <row r="385" spans="1:8" ht="32.1" customHeight="1" x14ac:dyDescent="0.25">
      <c r="A385" s="330"/>
      <c r="B385" s="344"/>
      <c r="C385" s="30">
        <v>1</v>
      </c>
      <c r="D385" s="71" t="s">
        <v>283</v>
      </c>
      <c r="E385" s="31"/>
      <c r="H385" s="29"/>
    </row>
    <row r="386" spans="1:8" ht="15.95" customHeight="1" x14ac:dyDescent="0.25">
      <c r="A386" s="330"/>
      <c r="B386" s="344"/>
      <c r="C386" s="30">
        <v>0</v>
      </c>
      <c r="D386" s="68" t="s">
        <v>284</v>
      </c>
      <c r="E386" s="32"/>
      <c r="H386" s="29"/>
    </row>
    <row r="387" spans="1:8" ht="15" customHeight="1" x14ac:dyDescent="0.25">
      <c r="A387" s="331"/>
      <c r="B387" s="345"/>
      <c r="C387" s="337" t="s">
        <v>285</v>
      </c>
      <c r="D387" s="338"/>
      <c r="E387" s="25">
        <f>IF(OR(F375="Salah isi",F381="Salah isi"),0,(E375+E381)/2)</f>
        <v>0</v>
      </c>
      <c r="H387" s="29"/>
    </row>
    <row r="388" spans="1:8" ht="15" customHeight="1" x14ac:dyDescent="0.25">
      <c r="A388" s="26"/>
      <c r="B388" s="26"/>
      <c r="C388" s="27"/>
      <c r="D388" s="64"/>
      <c r="E388" s="28"/>
      <c r="H388" s="29"/>
    </row>
    <row r="389" spans="1:8" ht="45" customHeight="1" x14ac:dyDescent="0.25">
      <c r="A389" s="329">
        <v>32</v>
      </c>
      <c r="B389" s="343" t="s">
        <v>286</v>
      </c>
      <c r="C389" s="352" t="s">
        <v>287</v>
      </c>
      <c r="D389" s="352"/>
      <c r="E389" s="46"/>
      <c r="H389" s="210"/>
    </row>
    <row r="390" spans="1:8" ht="21.75" customHeight="1" x14ac:dyDescent="0.25">
      <c r="A390" s="330"/>
      <c r="B390" s="344"/>
      <c r="C390" s="327" t="s">
        <v>288</v>
      </c>
      <c r="D390" s="328"/>
      <c r="E390" s="161">
        <v>204419000</v>
      </c>
      <c r="F390" s="8" t="s">
        <v>94</v>
      </c>
      <c r="G390" s="37"/>
      <c r="H390" s="29"/>
    </row>
    <row r="391" spans="1:8" ht="23.45" customHeight="1" x14ac:dyDescent="0.25">
      <c r="A391" s="330"/>
      <c r="B391" s="344"/>
      <c r="C391" s="327" t="s">
        <v>289</v>
      </c>
      <c r="D391" s="328"/>
      <c r="E391" s="58">
        <v>218</v>
      </c>
      <c r="F391" s="8" t="s">
        <v>94</v>
      </c>
      <c r="G391" s="37"/>
      <c r="H391" s="29"/>
    </row>
    <row r="392" spans="1:8" ht="32.450000000000003" customHeight="1" x14ac:dyDescent="0.25">
      <c r="A392" s="330"/>
      <c r="B392" s="344"/>
      <c r="C392" s="327" t="s">
        <v>290</v>
      </c>
      <c r="D392" s="328"/>
      <c r="E392" s="160">
        <f>IF(E391&gt;0,E390/3/E391,0)</f>
        <v>312567.27828746178</v>
      </c>
      <c r="G392" s="43"/>
      <c r="H392" s="29"/>
    </row>
    <row r="393" spans="1:8" ht="14.45" hidden="1" customHeight="1" x14ac:dyDescent="0.25">
      <c r="A393" s="330"/>
      <c r="B393" s="344"/>
      <c r="C393" s="124" t="s">
        <v>152</v>
      </c>
      <c r="D393" s="125">
        <v>20000000</v>
      </c>
      <c r="E393" s="159"/>
      <c r="G393" s="43"/>
      <c r="H393" s="29"/>
    </row>
    <row r="394" spans="1:8" ht="15.95" customHeight="1" x14ac:dyDescent="0.25">
      <c r="A394" s="331"/>
      <c r="B394" s="345"/>
      <c r="C394" s="341" t="s">
        <v>34</v>
      </c>
      <c r="D394" s="342"/>
      <c r="E394" s="25">
        <f>IF(E392&gt;=D393,4,4/D393*E392)</f>
        <v>6.2513455657492348E-2</v>
      </c>
      <c r="H394" s="29"/>
    </row>
    <row r="395" spans="1:8" ht="15.95" customHeight="1" x14ac:dyDescent="0.25">
      <c r="C395" s="39"/>
      <c r="D395" s="70"/>
      <c r="H395" s="39"/>
    </row>
    <row r="396" spans="1:8" ht="31.35" customHeight="1" x14ac:dyDescent="0.25">
      <c r="A396" s="329">
        <v>33</v>
      </c>
      <c r="B396" s="364"/>
      <c r="C396" s="352" t="s">
        <v>291</v>
      </c>
      <c r="D396" s="352"/>
      <c r="E396" s="46"/>
      <c r="H396" s="210"/>
    </row>
    <row r="397" spans="1:8" ht="31.5" customHeight="1" x14ac:dyDescent="0.25">
      <c r="A397" s="330"/>
      <c r="B397" s="365"/>
      <c r="C397" s="327" t="s">
        <v>292</v>
      </c>
      <c r="D397" s="328"/>
      <c r="E397" s="161">
        <v>18000000</v>
      </c>
      <c r="F397" s="8" t="s">
        <v>94</v>
      </c>
      <c r="G397" s="37"/>
      <c r="H397" s="29"/>
    </row>
    <row r="398" spans="1:8" ht="48" customHeight="1" x14ac:dyDescent="0.25">
      <c r="A398" s="330"/>
      <c r="B398" s="365"/>
      <c r="C398" s="327" t="s">
        <v>97</v>
      </c>
      <c r="D398" s="328"/>
      <c r="E398" s="58">
        <v>6</v>
      </c>
      <c r="F398" s="8" t="s">
        <v>94</v>
      </c>
      <c r="G398" s="37"/>
      <c r="H398" s="29"/>
    </row>
    <row r="399" spans="1:8" ht="36" customHeight="1" x14ac:dyDescent="0.25">
      <c r="A399" s="330"/>
      <c r="B399" s="365"/>
      <c r="C399" s="327" t="s">
        <v>293</v>
      </c>
      <c r="D399" s="328"/>
      <c r="E399" s="160">
        <f>IF(E398&gt;0,E397/3/E398,0)</f>
        <v>1000000</v>
      </c>
      <c r="G399" s="43"/>
      <c r="H399" s="29"/>
    </row>
    <row r="400" spans="1:8" ht="14.45" hidden="1" customHeight="1" x14ac:dyDescent="0.25">
      <c r="A400" s="330"/>
      <c r="B400" s="365"/>
      <c r="C400" s="124" t="s">
        <v>152</v>
      </c>
      <c r="D400" s="125">
        <v>10000000</v>
      </c>
      <c r="E400" s="159"/>
      <c r="G400" s="43"/>
      <c r="H400" s="29"/>
    </row>
    <row r="401" spans="1:8" ht="15.95" customHeight="1" x14ac:dyDescent="0.25">
      <c r="A401" s="331"/>
      <c r="B401" s="366"/>
      <c r="C401" s="341" t="s">
        <v>34</v>
      </c>
      <c r="D401" s="342"/>
      <c r="E401" s="25">
        <f>IF(E399&gt;=D400,4,4/D400*E399)</f>
        <v>0.39999999999999997</v>
      </c>
      <c r="H401" s="29"/>
    </row>
    <row r="402" spans="1:8" ht="15.95" customHeight="1" x14ac:dyDescent="0.25">
      <c r="C402" s="39"/>
      <c r="D402" s="70"/>
      <c r="H402" s="39"/>
    </row>
    <row r="403" spans="1:8" ht="42.75" customHeight="1" x14ac:dyDescent="0.25">
      <c r="A403" s="329">
        <v>34</v>
      </c>
      <c r="B403" s="364"/>
      <c r="C403" s="352" t="s">
        <v>294</v>
      </c>
      <c r="D403" s="352"/>
      <c r="E403" s="46"/>
      <c r="H403" s="210"/>
    </row>
    <row r="404" spans="1:8" ht="31.5" customHeight="1" x14ac:dyDescent="0.25">
      <c r="A404" s="330"/>
      <c r="B404" s="365"/>
      <c r="C404" s="327" t="s">
        <v>295</v>
      </c>
      <c r="D404" s="328"/>
      <c r="E404" s="161">
        <v>22888889</v>
      </c>
      <c r="F404" s="8" t="s">
        <v>94</v>
      </c>
      <c r="G404" s="37"/>
      <c r="H404" s="29"/>
    </row>
    <row r="405" spans="1:8" ht="50.1" customHeight="1" x14ac:dyDescent="0.25">
      <c r="A405" s="330"/>
      <c r="B405" s="365"/>
      <c r="C405" s="327" t="s">
        <v>97</v>
      </c>
      <c r="D405" s="328"/>
      <c r="E405" s="58">
        <v>6</v>
      </c>
      <c r="F405" s="8" t="s">
        <v>94</v>
      </c>
      <c r="G405" s="37"/>
      <c r="H405" s="29"/>
    </row>
    <row r="406" spans="1:8" ht="33" customHeight="1" x14ac:dyDescent="0.25">
      <c r="A406" s="330"/>
      <c r="B406" s="365"/>
      <c r="C406" s="327" t="s">
        <v>296</v>
      </c>
      <c r="D406" s="328"/>
      <c r="E406" s="160">
        <f>IF(E405&gt;0,E404/3/E405,0)</f>
        <v>1271604.9444444445</v>
      </c>
      <c r="G406" s="43"/>
      <c r="H406" s="29"/>
    </row>
    <row r="407" spans="1:8" ht="14.45" hidden="1" customHeight="1" x14ac:dyDescent="0.25">
      <c r="A407" s="330"/>
      <c r="B407" s="365"/>
      <c r="C407" s="124" t="s">
        <v>152</v>
      </c>
      <c r="D407" s="125">
        <v>5000000</v>
      </c>
      <c r="E407" s="159"/>
      <c r="G407" s="43"/>
      <c r="H407" s="29"/>
    </row>
    <row r="408" spans="1:8" ht="15.95" customHeight="1" x14ac:dyDescent="0.25">
      <c r="A408" s="331"/>
      <c r="B408" s="366"/>
      <c r="C408" s="341" t="s">
        <v>34</v>
      </c>
      <c r="D408" s="342"/>
      <c r="E408" s="25">
        <f>IF(E406&gt;=D407,4,4/D407*E406)</f>
        <v>1.0172839555555555</v>
      </c>
      <c r="H408" s="29"/>
    </row>
    <row r="409" spans="1:8" ht="15.95" customHeight="1" x14ac:dyDescent="0.25">
      <c r="C409" s="39"/>
      <c r="D409" s="70"/>
      <c r="H409" s="39"/>
    </row>
    <row r="410" spans="1:8" ht="68.099999999999994" customHeight="1" x14ac:dyDescent="0.25">
      <c r="A410" s="329">
        <v>35</v>
      </c>
      <c r="B410" s="343"/>
      <c r="C410" s="335" t="s">
        <v>297</v>
      </c>
      <c r="D410" s="336"/>
      <c r="E410" s="21"/>
      <c r="F410" s="8" t="str">
        <f>IF(OR(ISBLANK(E410),E410&gt;4),"Salah isi","judge")</f>
        <v>Salah isi</v>
      </c>
      <c r="H410" s="210"/>
    </row>
    <row r="411" spans="1:8" x14ac:dyDescent="0.25">
      <c r="A411" s="330"/>
      <c r="B411" s="344"/>
      <c r="C411" s="327" t="s">
        <v>298</v>
      </c>
      <c r="D411" s="328"/>
      <c r="E411" s="102">
        <f>AVERAGE(E195,E202,E209,E218,E239,E247,E257,E265,E272)</f>
        <v>1.967063492063494</v>
      </c>
      <c r="H411" s="29"/>
    </row>
    <row r="412" spans="1:8" ht="63.95" customHeight="1" x14ac:dyDescent="0.25">
      <c r="A412" s="330"/>
      <c r="B412" s="344"/>
      <c r="C412" s="22">
        <v>4</v>
      </c>
      <c r="D412" s="62" t="s">
        <v>299</v>
      </c>
      <c r="E412" s="23"/>
      <c r="H412" s="29"/>
    </row>
    <row r="413" spans="1:8" ht="48" customHeight="1" x14ac:dyDescent="0.25">
      <c r="A413" s="330"/>
      <c r="B413" s="344"/>
      <c r="C413" s="22">
        <v>3</v>
      </c>
      <c r="D413" s="62" t="s">
        <v>300</v>
      </c>
      <c r="E413" s="23"/>
      <c r="H413" s="29"/>
    </row>
    <row r="414" spans="1:8" ht="63.95" customHeight="1" x14ac:dyDescent="0.25">
      <c r="A414" s="330"/>
      <c r="B414" s="344"/>
      <c r="C414" s="22">
        <v>2</v>
      </c>
      <c r="D414" s="62" t="s">
        <v>301</v>
      </c>
      <c r="E414" s="23"/>
      <c r="H414" s="29"/>
    </row>
    <row r="415" spans="1:8" ht="32.1" customHeight="1" x14ac:dyDescent="0.25">
      <c r="A415" s="330"/>
      <c r="B415" s="344"/>
      <c r="C415" s="22">
        <v>1</v>
      </c>
      <c r="D415" s="62" t="s">
        <v>302</v>
      </c>
      <c r="E415" s="23"/>
      <c r="H415" s="29"/>
    </row>
    <row r="416" spans="1:8" ht="15.95" customHeight="1" x14ac:dyDescent="0.25">
      <c r="A416" s="330"/>
      <c r="B416" s="344"/>
      <c r="C416" s="22">
        <v>0</v>
      </c>
      <c r="D416" s="62" t="s">
        <v>303</v>
      </c>
      <c r="E416" s="24"/>
      <c r="H416" s="29"/>
    </row>
    <row r="417" spans="1:8" ht="15" customHeight="1" x14ac:dyDescent="0.25">
      <c r="A417" s="331"/>
      <c r="B417" s="345"/>
      <c r="C417" s="337" t="s">
        <v>34</v>
      </c>
      <c r="D417" s="338"/>
      <c r="E417" s="25">
        <f>IF(F410="Salah isi",0,IF(E411&gt;=3.5,4,E410))</f>
        <v>0</v>
      </c>
      <c r="H417" s="29"/>
    </row>
    <row r="418" spans="1:8" ht="15" customHeight="1" x14ac:dyDescent="0.25">
      <c r="A418" s="26"/>
      <c r="B418" s="26"/>
      <c r="C418" s="27"/>
      <c r="D418" s="64"/>
      <c r="E418" s="28"/>
      <c r="H418" s="29"/>
    </row>
    <row r="419" spans="1:8" ht="32.1" customHeight="1" x14ac:dyDescent="0.25">
      <c r="A419" s="329">
        <v>36</v>
      </c>
      <c r="B419" s="343"/>
      <c r="C419" s="335" t="s">
        <v>304</v>
      </c>
      <c r="D419" s="336"/>
      <c r="E419" s="21"/>
      <c r="F419" s="8" t="str">
        <f>IF(OR(ISBLANK(E419),E419&gt;4),"Salah isi","judge")</f>
        <v>Salah isi</v>
      </c>
      <c r="H419" s="210"/>
    </row>
    <row r="420" spans="1:8" ht="63.95" customHeight="1" x14ac:dyDescent="0.25">
      <c r="A420" s="330"/>
      <c r="B420" s="344"/>
      <c r="C420" s="22">
        <v>4</v>
      </c>
      <c r="D420" s="62" t="s">
        <v>305</v>
      </c>
      <c r="E420" s="23"/>
      <c r="H420" s="29"/>
    </row>
    <row r="421" spans="1:8" ht="32.1" customHeight="1" x14ac:dyDescent="0.25">
      <c r="A421" s="330"/>
      <c r="B421" s="344"/>
      <c r="C421" s="22">
        <v>3</v>
      </c>
      <c r="D421" s="62" t="s">
        <v>306</v>
      </c>
      <c r="E421" s="23"/>
      <c r="H421" s="29"/>
    </row>
    <row r="422" spans="1:8" ht="32.1" customHeight="1" x14ac:dyDescent="0.25">
      <c r="A422" s="330"/>
      <c r="B422" s="344"/>
      <c r="C422" s="22">
        <v>2</v>
      </c>
      <c r="D422" s="62" t="s">
        <v>307</v>
      </c>
      <c r="E422" s="23"/>
      <c r="H422" s="29"/>
    </row>
    <row r="423" spans="1:8" ht="32.1" customHeight="1" x14ac:dyDescent="0.25">
      <c r="A423" s="330"/>
      <c r="B423" s="344"/>
      <c r="C423" s="22">
        <v>1</v>
      </c>
      <c r="D423" s="62" t="s">
        <v>308</v>
      </c>
      <c r="E423" s="23"/>
      <c r="H423" s="29"/>
    </row>
    <row r="424" spans="1:8" ht="15.95" customHeight="1" x14ac:dyDescent="0.25">
      <c r="A424" s="330"/>
      <c r="B424" s="344"/>
      <c r="C424" s="22">
        <v>0</v>
      </c>
      <c r="D424" s="62" t="s">
        <v>309</v>
      </c>
      <c r="E424" s="24"/>
      <c r="H424" s="29"/>
    </row>
    <row r="425" spans="1:8" ht="15" customHeight="1" x14ac:dyDescent="0.25">
      <c r="A425" s="331"/>
      <c r="B425" s="345"/>
      <c r="C425" s="337" t="s">
        <v>34</v>
      </c>
      <c r="D425" s="338"/>
      <c r="E425" s="25">
        <f>IF(F419="Salah isi",0,E419)</f>
        <v>0</v>
      </c>
      <c r="H425" s="29"/>
    </row>
    <row r="426" spans="1:8" ht="15" customHeight="1" x14ac:dyDescent="0.25">
      <c r="A426" s="26"/>
      <c r="B426" s="26"/>
      <c r="C426" s="27"/>
      <c r="D426" s="64"/>
      <c r="E426" s="28"/>
      <c r="H426" s="29"/>
    </row>
    <row r="427" spans="1:8" ht="41.45" customHeight="1" x14ac:dyDescent="0.25">
      <c r="A427" s="329">
        <v>37</v>
      </c>
      <c r="B427" s="343" t="s">
        <v>310</v>
      </c>
      <c r="C427" s="335" t="s">
        <v>311</v>
      </c>
      <c r="D427" s="336"/>
      <c r="E427" s="21"/>
      <c r="F427" s="8" t="str">
        <f>IF(OR(ISBLANK(E427),E427&gt;4),"Salah isi","judge")</f>
        <v>Salah isi</v>
      </c>
      <c r="H427" s="210"/>
    </row>
    <row r="428" spans="1:8" ht="48" customHeight="1" x14ac:dyDescent="0.25">
      <c r="A428" s="330"/>
      <c r="B428" s="344"/>
      <c r="C428" s="22">
        <v>4</v>
      </c>
      <c r="D428" s="62" t="s">
        <v>312</v>
      </c>
      <c r="E428" s="23"/>
      <c r="H428" s="29"/>
    </row>
    <row r="429" spans="1:8" ht="48" customHeight="1" x14ac:dyDescent="0.25">
      <c r="A429" s="330"/>
      <c r="B429" s="344"/>
      <c r="C429" s="22">
        <v>3</v>
      </c>
      <c r="D429" s="62" t="s">
        <v>313</v>
      </c>
      <c r="E429" s="23"/>
      <c r="H429" s="29"/>
    </row>
    <row r="430" spans="1:8" ht="48" customHeight="1" x14ac:dyDescent="0.25">
      <c r="A430" s="330"/>
      <c r="B430" s="344"/>
      <c r="C430" s="22">
        <v>2</v>
      </c>
      <c r="D430" s="62" t="s">
        <v>314</v>
      </c>
      <c r="E430" s="23"/>
      <c r="H430" s="29"/>
    </row>
    <row r="431" spans="1:8" ht="32.1" customHeight="1" x14ac:dyDescent="0.25">
      <c r="A431" s="330"/>
      <c r="B431" s="344"/>
      <c r="C431" s="22">
        <v>1</v>
      </c>
      <c r="D431" s="62" t="s">
        <v>315</v>
      </c>
      <c r="E431" s="23"/>
      <c r="H431" s="29"/>
    </row>
    <row r="432" spans="1:8" ht="15.95" customHeight="1" x14ac:dyDescent="0.25">
      <c r="A432" s="330"/>
      <c r="B432" s="344"/>
      <c r="C432" s="22">
        <v>0</v>
      </c>
      <c r="D432" s="62" t="s">
        <v>316</v>
      </c>
      <c r="E432" s="24"/>
      <c r="H432" s="29"/>
    </row>
    <row r="433" spans="1:8" ht="15" customHeight="1" x14ac:dyDescent="0.25">
      <c r="A433" s="331"/>
      <c r="B433" s="345"/>
      <c r="C433" s="337" t="s">
        <v>34</v>
      </c>
      <c r="D433" s="338"/>
      <c r="E433" s="25">
        <f>IF(F427="Salah isi",0,E427)</f>
        <v>0</v>
      </c>
      <c r="H433" s="29"/>
    </row>
    <row r="434" spans="1:8" ht="15" customHeight="1" x14ac:dyDescent="0.25">
      <c r="A434" s="26"/>
      <c r="B434" s="26"/>
      <c r="C434" s="27"/>
      <c r="D434" s="64"/>
      <c r="E434" s="28"/>
      <c r="H434" s="29"/>
    </row>
    <row r="435" spans="1:8" ht="40.35" customHeight="1" x14ac:dyDescent="0.25">
      <c r="A435" s="329">
        <v>38</v>
      </c>
      <c r="B435" s="343" t="s">
        <v>317</v>
      </c>
      <c r="C435" s="335" t="s">
        <v>318</v>
      </c>
      <c r="D435" s="369"/>
      <c r="E435" s="21"/>
      <c r="F435" s="8" t="str">
        <f>IF(OR(ISBLANK(E435),E435&gt;4),"Salah isi","judge")</f>
        <v>Salah isi</v>
      </c>
      <c r="H435" s="210"/>
    </row>
    <row r="436" spans="1:8" ht="63.95" customHeight="1" x14ac:dyDescent="0.25">
      <c r="A436" s="330"/>
      <c r="B436" s="344"/>
      <c r="C436" s="30">
        <v>4</v>
      </c>
      <c r="D436" s="66" t="s">
        <v>319</v>
      </c>
      <c r="E436" s="31"/>
      <c r="H436" s="29"/>
    </row>
    <row r="437" spans="1:8" ht="32.1" customHeight="1" x14ac:dyDescent="0.25">
      <c r="A437" s="330"/>
      <c r="B437" s="344"/>
      <c r="C437" s="30">
        <v>3</v>
      </c>
      <c r="D437" s="66" t="s">
        <v>320</v>
      </c>
      <c r="E437" s="31"/>
      <c r="H437" s="29"/>
    </row>
    <row r="438" spans="1:8" ht="32.1" customHeight="1" x14ac:dyDescent="0.25">
      <c r="A438" s="330"/>
      <c r="B438" s="344"/>
      <c r="C438" s="30">
        <v>2</v>
      </c>
      <c r="D438" s="66" t="s">
        <v>321</v>
      </c>
      <c r="E438" s="31"/>
      <c r="H438" s="29"/>
    </row>
    <row r="439" spans="1:8" ht="32.1" customHeight="1" x14ac:dyDescent="0.25">
      <c r="A439" s="330"/>
      <c r="B439" s="344"/>
      <c r="C439" s="30">
        <v>1</v>
      </c>
      <c r="D439" s="66" t="s">
        <v>322</v>
      </c>
      <c r="E439" s="31"/>
      <c r="H439" s="29"/>
    </row>
    <row r="440" spans="1:8" ht="15.95" customHeight="1" x14ac:dyDescent="0.25">
      <c r="A440" s="330"/>
      <c r="B440" s="344"/>
      <c r="C440" s="30">
        <v>0</v>
      </c>
      <c r="D440" s="66" t="s">
        <v>323</v>
      </c>
      <c r="E440" s="32"/>
      <c r="H440" s="29"/>
    </row>
    <row r="441" spans="1:8" ht="42" customHeight="1" x14ac:dyDescent="0.25">
      <c r="A441" s="330"/>
      <c r="B441" s="344"/>
      <c r="C441" s="401" t="s">
        <v>324</v>
      </c>
      <c r="D441" s="370"/>
      <c r="E441" s="33"/>
      <c r="F441" s="8" t="str">
        <f>IF(OR(ISBLANK(E441),E441&gt;4),"Salah isi","judge")</f>
        <v>Salah isi</v>
      </c>
      <c r="H441" s="29"/>
    </row>
    <row r="442" spans="1:8" ht="80.099999999999994" customHeight="1" x14ac:dyDescent="0.25">
      <c r="A442" s="330"/>
      <c r="B442" s="344"/>
      <c r="C442" s="30">
        <v>4</v>
      </c>
      <c r="D442" s="68" t="s">
        <v>325</v>
      </c>
      <c r="E442" s="31"/>
      <c r="F442" s="57"/>
      <c r="H442" s="29"/>
    </row>
    <row r="443" spans="1:8" ht="48" customHeight="1" x14ac:dyDescent="0.25">
      <c r="A443" s="330"/>
      <c r="B443" s="344"/>
      <c r="C443" s="30">
        <v>3</v>
      </c>
      <c r="D443" s="68" t="s">
        <v>326</v>
      </c>
      <c r="E443" s="31"/>
      <c r="F443" s="57"/>
      <c r="H443" s="29"/>
    </row>
    <row r="444" spans="1:8" ht="32.1" customHeight="1" x14ac:dyDescent="0.25">
      <c r="A444" s="330"/>
      <c r="B444" s="344"/>
      <c r="C444" s="30">
        <v>2</v>
      </c>
      <c r="D444" s="68" t="s">
        <v>327</v>
      </c>
      <c r="E444" s="31"/>
      <c r="F444" s="57"/>
      <c r="H444" s="29"/>
    </row>
    <row r="445" spans="1:8" ht="32.1" customHeight="1" x14ac:dyDescent="0.25">
      <c r="A445" s="330"/>
      <c r="B445" s="344"/>
      <c r="C445" s="30">
        <v>1</v>
      </c>
      <c r="D445" s="68" t="s">
        <v>328</v>
      </c>
      <c r="E445" s="31"/>
      <c r="F445" s="57"/>
      <c r="H445" s="29"/>
    </row>
    <row r="446" spans="1:8" ht="32.1" customHeight="1" x14ac:dyDescent="0.25">
      <c r="A446" s="330"/>
      <c r="B446" s="344"/>
      <c r="C446" s="30">
        <v>0</v>
      </c>
      <c r="D446" s="68" t="s">
        <v>329</v>
      </c>
      <c r="E446" s="32"/>
      <c r="F446" s="57"/>
      <c r="H446" s="29"/>
    </row>
    <row r="447" spans="1:8" ht="34.35" customHeight="1" x14ac:dyDescent="0.25">
      <c r="A447" s="330"/>
      <c r="B447" s="344"/>
      <c r="C447" s="327" t="s">
        <v>330</v>
      </c>
      <c r="D447" s="370"/>
      <c r="E447" s="33"/>
      <c r="F447" s="8" t="str">
        <f>IF(OR(E447&lt;1,E447&gt;4),"Salah isi","judge")</f>
        <v>Salah isi</v>
      </c>
      <c r="H447" s="29"/>
    </row>
    <row r="448" spans="1:8" ht="80.099999999999994" customHeight="1" x14ac:dyDescent="0.25">
      <c r="A448" s="330"/>
      <c r="B448" s="344"/>
      <c r="C448" s="30">
        <v>4</v>
      </c>
      <c r="D448" s="68" t="s">
        <v>331</v>
      </c>
      <c r="E448" s="31"/>
      <c r="F448" s="57"/>
      <c r="H448" s="29"/>
    </row>
    <row r="449" spans="1:8" ht="63.95" customHeight="1" x14ac:dyDescent="0.25">
      <c r="A449" s="330"/>
      <c r="B449" s="344"/>
      <c r="C449" s="30">
        <v>3</v>
      </c>
      <c r="D449" s="68" t="s">
        <v>332</v>
      </c>
      <c r="E449" s="31"/>
      <c r="F449" s="57"/>
      <c r="H449" s="29"/>
    </row>
    <row r="450" spans="1:8" ht="32.1" customHeight="1" x14ac:dyDescent="0.25">
      <c r="A450" s="330"/>
      <c r="B450" s="344"/>
      <c r="C450" s="30">
        <v>2</v>
      </c>
      <c r="D450" s="68" t="s">
        <v>333</v>
      </c>
      <c r="E450" s="31"/>
      <c r="F450" s="57"/>
      <c r="H450" s="29"/>
    </row>
    <row r="451" spans="1:8" ht="15.95" customHeight="1" x14ac:dyDescent="0.25">
      <c r="A451" s="330"/>
      <c r="B451" s="344"/>
      <c r="C451" s="30">
        <v>1</v>
      </c>
      <c r="D451" s="68" t="s">
        <v>334</v>
      </c>
      <c r="E451" s="31"/>
      <c r="H451" s="29"/>
    </row>
    <row r="452" spans="1:8" ht="15.95" customHeight="1" x14ac:dyDescent="0.25">
      <c r="A452" s="330"/>
      <c r="B452" s="344"/>
      <c r="C452" s="30">
        <v>0</v>
      </c>
      <c r="D452" s="68" t="s">
        <v>73</v>
      </c>
      <c r="E452" s="32"/>
      <c r="H452" s="29"/>
    </row>
    <row r="453" spans="1:8" ht="15" customHeight="1" x14ac:dyDescent="0.25">
      <c r="A453" s="331"/>
      <c r="B453" s="345"/>
      <c r="C453" s="337" t="s">
        <v>335</v>
      </c>
      <c r="D453" s="375"/>
      <c r="E453" s="25">
        <f>IF(OR(F435="Salah isi",F441="Salah isi",F447="Salah isi"),0,(E435+2*E441+2*E447)/5)</f>
        <v>0</v>
      </c>
      <c r="H453" s="29"/>
    </row>
    <row r="454" spans="1:8" ht="15" customHeight="1" x14ac:dyDescent="0.25">
      <c r="A454" s="26"/>
      <c r="B454" s="26"/>
      <c r="C454" s="27"/>
      <c r="D454" s="64"/>
      <c r="E454" s="28"/>
      <c r="H454" s="29"/>
    </row>
    <row r="455" spans="1:8" ht="53.45" customHeight="1" x14ac:dyDescent="0.25">
      <c r="A455" s="329">
        <v>39</v>
      </c>
      <c r="B455" s="343" t="s">
        <v>336</v>
      </c>
      <c r="C455" s="335" t="s">
        <v>337</v>
      </c>
      <c r="D455" s="336"/>
      <c r="E455" s="21"/>
      <c r="F455" s="8" t="str">
        <f>IF(OR(E455&lt;1,E455&gt;4),"Salah isi","judge")</f>
        <v>Salah isi</v>
      </c>
      <c r="H455" s="210"/>
    </row>
    <row r="456" spans="1:8" ht="48" customHeight="1" x14ac:dyDescent="0.25">
      <c r="A456" s="330"/>
      <c r="B456" s="344"/>
      <c r="C456" s="22">
        <v>4</v>
      </c>
      <c r="D456" s="62" t="s">
        <v>338</v>
      </c>
      <c r="E456" s="23"/>
      <c r="H456" s="29"/>
    </row>
    <row r="457" spans="1:8" ht="48" customHeight="1" x14ac:dyDescent="0.25">
      <c r="A457" s="330"/>
      <c r="B457" s="344"/>
      <c r="C457" s="22">
        <v>3</v>
      </c>
      <c r="D457" s="62" t="s">
        <v>339</v>
      </c>
      <c r="E457" s="23"/>
      <c r="H457" s="29"/>
    </row>
    <row r="458" spans="1:8" ht="32.1" customHeight="1" x14ac:dyDescent="0.25">
      <c r="A458" s="330"/>
      <c r="B458" s="344"/>
      <c r="C458" s="22">
        <v>2</v>
      </c>
      <c r="D458" s="62" t="s">
        <v>340</v>
      </c>
      <c r="E458" s="23"/>
      <c r="H458" s="29"/>
    </row>
    <row r="459" spans="1:8" ht="32.1" customHeight="1" x14ac:dyDescent="0.25">
      <c r="A459" s="330"/>
      <c r="B459" s="344"/>
      <c r="C459" s="22">
        <v>1</v>
      </c>
      <c r="D459" s="62" t="s">
        <v>341</v>
      </c>
      <c r="E459" s="23"/>
      <c r="H459" s="29"/>
    </row>
    <row r="460" spans="1:8" ht="15.95" customHeight="1" x14ac:dyDescent="0.25">
      <c r="A460" s="330"/>
      <c r="B460" s="344"/>
      <c r="C460" s="22">
        <v>0</v>
      </c>
      <c r="D460" s="62" t="s">
        <v>73</v>
      </c>
      <c r="E460" s="24"/>
      <c r="H460" s="29"/>
    </row>
    <row r="461" spans="1:8" ht="15" customHeight="1" x14ac:dyDescent="0.25">
      <c r="A461" s="331"/>
      <c r="B461" s="345"/>
      <c r="C461" s="337" t="s">
        <v>34</v>
      </c>
      <c r="D461" s="338"/>
      <c r="E461" s="25">
        <f>IF(F455="Salah isi",0,E455)</f>
        <v>0</v>
      </c>
      <c r="H461" s="29"/>
    </row>
    <row r="462" spans="1:8" ht="15" customHeight="1" x14ac:dyDescent="0.25">
      <c r="A462" s="26"/>
      <c r="B462" s="26"/>
      <c r="C462" s="27"/>
      <c r="D462" s="64"/>
      <c r="E462" s="28"/>
      <c r="H462" s="29"/>
    </row>
    <row r="463" spans="1:8" ht="40.35" customHeight="1" x14ac:dyDescent="0.25">
      <c r="A463" s="329">
        <v>40</v>
      </c>
      <c r="B463" s="343" t="s">
        <v>342</v>
      </c>
      <c r="C463" s="335" t="s">
        <v>343</v>
      </c>
      <c r="D463" s="369"/>
      <c r="E463" s="21"/>
      <c r="F463" s="8" t="str">
        <f>IF(OR(ISBLANK(E463),E463&gt;4),"Salah isi","judge")</f>
        <v>Salah isi</v>
      </c>
      <c r="H463" s="210"/>
    </row>
    <row r="464" spans="1:8" ht="63.95" customHeight="1" x14ac:dyDescent="0.25">
      <c r="A464" s="330"/>
      <c r="B464" s="344"/>
      <c r="C464" s="30">
        <v>4</v>
      </c>
      <c r="D464" s="66" t="s">
        <v>344</v>
      </c>
      <c r="E464" s="31"/>
      <c r="H464" s="29"/>
    </row>
    <row r="465" spans="1:8" ht="63.95" customHeight="1" x14ac:dyDescent="0.25">
      <c r="A465" s="330"/>
      <c r="B465" s="344"/>
      <c r="C465" s="30">
        <v>3</v>
      </c>
      <c r="D465" s="66" t="s">
        <v>345</v>
      </c>
      <c r="E465" s="31"/>
      <c r="H465" s="29"/>
    </row>
    <row r="466" spans="1:8" ht="48" customHeight="1" x14ac:dyDescent="0.25">
      <c r="A466" s="330"/>
      <c r="B466" s="344"/>
      <c r="C466" s="30">
        <v>2</v>
      </c>
      <c r="D466" s="66" t="s">
        <v>346</v>
      </c>
      <c r="E466" s="31"/>
      <c r="H466" s="29"/>
    </row>
    <row r="467" spans="1:8" ht="48" customHeight="1" x14ac:dyDescent="0.25">
      <c r="A467" s="330"/>
      <c r="B467" s="344"/>
      <c r="C467" s="30">
        <v>1</v>
      </c>
      <c r="D467" s="66" t="s">
        <v>347</v>
      </c>
      <c r="E467" s="31"/>
      <c r="H467" s="29"/>
    </row>
    <row r="468" spans="1:8" ht="15.95" customHeight="1" x14ac:dyDescent="0.25">
      <c r="A468" s="330"/>
      <c r="B468" s="344"/>
      <c r="C468" s="30">
        <v>0</v>
      </c>
      <c r="D468" s="66" t="s">
        <v>348</v>
      </c>
      <c r="E468" s="32"/>
      <c r="H468" s="29"/>
    </row>
    <row r="469" spans="1:8" ht="34.35" customHeight="1" x14ac:dyDescent="0.25">
      <c r="A469" s="330"/>
      <c r="B469" s="344"/>
      <c r="C469" s="327" t="s">
        <v>349</v>
      </c>
      <c r="D469" s="370"/>
      <c r="E469" s="33"/>
      <c r="F469" s="8" t="str">
        <f>IF(OR(ISBLANK(E469),E469&gt;4),"Salah isi","judge")</f>
        <v>Salah isi</v>
      </c>
      <c r="H469" s="29"/>
    </row>
    <row r="470" spans="1:8" ht="48" customHeight="1" x14ac:dyDescent="0.25">
      <c r="A470" s="330"/>
      <c r="B470" s="344"/>
      <c r="C470" s="30">
        <v>4</v>
      </c>
      <c r="D470" s="68" t="s">
        <v>350</v>
      </c>
      <c r="E470" s="31"/>
      <c r="F470" s="57"/>
      <c r="H470" s="29"/>
    </row>
    <row r="471" spans="1:8" ht="32.1" customHeight="1" x14ac:dyDescent="0.25">
      <c r="A471" s="330"/>
      <c r="B471" s="344"/>
      <c r="C471" s="30">
        <v>3</v>
      </c>
      <c r="D471" s="68" t="s">
        <v>351</v>
      </c>
      <c r="E471" s="31"/>
      <c r="F471" s="57"/>
      <c r="H471" s="29"/>
    </row>
    <row r="472" spans="1:8" ht="32.1" customHeight="1" x14ac:dyDescent="0.25">
      <c r="A472" s="330"/>
      <c r="B472" s="344"/>
      <c r="C472" s="30">
        <v>2</v>
      </c>
      <c r="D472" s="68" t="s">
        <v>352</v>
      </c>
      <c r="E472" s="31"/>
      <c r="F472" s="57"/>
      <c r="H472" s="29"/>
    </row>
    <row r="473" spans="1:8" ht="32.1" customHeight="1" x14ac:dyDescent="0.25">
      <c r="A473" s="330"/>
      <c r="B473" s="344"/>
      <c r="C473" s="30">
        <v>1</v>
      </c>
      <c r="D473" s="68" t="s">
        <v>353</v>
      </c>
      <c r="E473" s="31"/>
      <c r="H473" s="29"/>
    </row>
    <row r="474" spans="1:8" ht="30" customHeight="1" x14ac:dyDescent="0.25">
      <c r="A474" s="330"/>
      <c r="B474" s="344"/>
      <c r="C474" s="30">
        <v>0</v>
      </c>
      <c r="D474" s="68" t="s">
        <v>354</v>
      </c>
      <c r="E474" s="32"/>
      <c r="H474" s="29"/>
    </row>
    <row r="475" spans="1:8" ht="15" customHeight="1" x14ac:dyDescent="0.25">
      <c r="A475" s="331"/>
      <c r="B475" s="345"/>
      <c r="C475" s="337" t="s">
        <v>74</v>
      </c>
      <c r="D475" s="375"/>
      <c r="E475" s="25">
        <f>IF(OR(F463="Salah isi",F469="Salah isi"),0,(E463+2*E469)/3)</f>
        <v>0</v>
      </c>
      <c r="H475" s="29"/>
    </row>
    <row r="476" spans="1:8" ht="15" customHeight="1" x14ac:dyDescent="0.25">
      <c r="A476" s="26"/>
      <c r="B476" s="26"/>
      <c r="C476" s="27"/>
      <c r="D476" s="64"/>
      <c r="E476" s="28"/>
      <c r="H476" s="29"/>
    </row>
    <row r="477" spans="1:8" ht="40.35" customHeight="1" x14ac:dyDescent="0.25">
      <c r="A477" s="329">
        <v>41</v>
      </c>
      <c r="B477" s="343" t="s">
        <v>355</v>
      </c>
      <c r="C477" s="335" t="s">
        <v>356</v>
      </c>
      <c r="D477" s="369"/>
      <c r="E477" s="21"/>
      <c r="F477" s="8" t="str">
        <f>IF(OR(ISBLANK(E477),E477&gt;4),"Salah isi","judge")</f>
        <v>Salah isi</v>
      </c>
      <c r="H477" s="210"/>
    </row>
    <row r="478" spans="1:8" ht="48" customHeight="1" x14ac:dyDescent="0.25">
      <c r="A478" s="330"/>
      <c r="B478" s="344"/>
      <c r="C478" s="30">
        <v>4</v>
      </c>
      <c r="D478" s="66" t="s">
        <v>357</v>
      </c>
      <c r="E478" s="31"/>
      <c r="H478" s="29"/>
    </row>
    <row r="479" spans="1:8" ht="48" customHeight="1" x14ac:dyDescent="0.25">
      <c r="A479" s="330"/>
      <c r="B479" s="344"/>
      <c r="C479" s="30">
        <v>3</v>
      </c>
      <c r="D479" s="66" t="s">
        <v>358</v>
      </c>
      <c r="E479" s="31"/>
      <c r="H479" s="29"/>
    </row>
    <row r="480" spans="1:8" ht="32.1" customHeight="1" x14ac:dyDescent="0.25">
      <c r="A480" s="330"/>
      <c r="B480" s="344"/>
      <c r="C480" s="30">
        <v>2</v>
      </c>
      <c r="D480" s="66" t="s">
        <v>359</v>
      </c>
      <c r="E480" s="31"/>
      <c r="H480" s="29"/>
    </row>
    <row r="481" spans="1:8" ht="48" customHeight="1" x14ac:dyDescent="0.25">
      <c r="A481" s="330"/>
      <c r="B481" s="344"/>
      <c r="C481" s="30">
        <v>1</v>
      </c>
      <c r="D481" s="66" t="s">
        <v>360</v>
      </c>
      <c r="E481" s="31"/>
      <c r="H481" s="29"/>
    </row>
    <row r="482" spans="1:8" ht="32.1" customHeight="1" x14ac:dyDescent="0.25">
      <c r="A482" s="330"/>
      <c r="B482" s="344"/>
      <c r="C482" s="30">
        <v>0</v>
      </c>
      <c r="D482" s="66" t="s">
        <v>361</v>
      </c>
      <c r="E482" s="32"/>
      <c r="H482" s="29"/>
    </row>
    <row r="483" spans="1:8" ht="34.35" customHeight="1" x14ac:dyDescent="0.25">
      <c r="A483" s="330"/>
      <c r="B483" s="344"/>
      <c r="C483" s="327" t="s">
        <v>362</v>
      </c>
      <c r="D483" s="370"/>
      <c r="E483" s="33"/>
      <c r="F483" s="8" t="str">
        <f>IF(OR(ISBLANK(E483),E483&gt;4),"Salah isi","judge")</f>
        <v>Salah isi</v>
      </c>
      <c r="H483" s="29"/>
    </row>
    <row r="484" spans="1:8" ht="80.099999999999994" customHeight="1" x14ac:dyDescent="0.25">
      <c r="A484" s="330"/>
      <c r="B484" s="344"/>
      <c r="C484" s="30">
        <v>4</v>
      </c>
      <c r="D484" s="68" t="s">
        <v>363</v>
      </c>
      <c r="E484" s="31"/>
      <c r="F484" s="57"/>
      <c r="H484" s="29"/>
    </row>
    <row r="485" spans="1:8" ht="63.95" customHeight="1" x14ac:dyDescent="0.25">
      <c r="A485" s="330"/>
      <c r="B485" s="344"/>
      <c r="C485" s="30">
        <v>3</v>
      </c>
      <c r="D485" s="68" t="s">
        <v>364</v>
      </c>
      <c r="E485" s="31"/>
      <c r="F485" s="57"/>
      <c r="H485" s="29"/>
    </row>
    <row r="486" spans="1:8" ht="48" customHeight="1" x14ac:dyDescent="0.25">
      <c r="A486" s="330"/>
      <c r="B486" s="344"/>
      <c r="C486" s="30">
        <v>2</v>
      </c>
      <c r="D486" s="68" t="s">
        <v>365</v>
      </c>
      <c r="E486" s="31"/>
      <c r="F486" s="57"/>
      <c r="H486" s="29"/>
    </row>
    <row r="487" spans="1:8" ht="32.1" customHeight="1" x14ac:dyDescent="0.25">
      <c r="A487" s="330"/>
      <c r="B487" s="344"/>
      <c r="C487" s="30">
        <v>1</v>
      </c>
      <c r="D487" s="68" t="s">
        <v>366</v>
      </c>
      <c r="E487" s="31"/>
      <c r="H487" s="29"/>
    </row>
    <row r="488" spans="1:8" ht="30" customHeight="1" x14ac:dyDescent="0.25">
      <c r="A488" s="330"/>
      <c r="B488" s="344"/>
      <c r="C488" s="30">
        <v>0</v>
      </c>
      <c r="D488" s="68" t="s">
        <v>367</v>
      </c>
      <c r="E488" s="32"/>
      <c r="H488" s="29"/>
    </row>
    <row r="489" spans="1:8" ht="114.75" customHeight="1" x14ac:dyDescent="0.25">
      <c r="A489" s="330"/>
      <c r="B489" s="344"/>
      <c r="C489" s="371" t="s">
        <v>368</v>
      </c>
      <c r="D489" s="372"/>
      <c r="E489" s="33"/>
      <c r="F489" s="8" t="str">
        <f>IF(OR(E489&lt;2,AND(E489&gt;2,E489&lt;4),E489&gt;4),"Salah isi","judge")</f>
        <v>Salah isi</v>
      </c>
      <c r="H489" s="29"/>
    </row>
    <row r="490" spans="1:8" ht="48" customHeight="1" x14ac:dyDescent="0.25">
      <c r="A490" s="330"/>
      <c r="B490" s="344"/>
      <c r="C490" s="207">
        <v>4</v>
      </c>
      <c r="D490" s="208" t="s">
        <v>369</v>
      </c>
      <c r="E490" s="209"/>
      <c r="F490" s="57"/>
      <c r="H490" s="29"/>
    </row>
    <row r="491" spans="1:8" ht="15.95" customHeight="1" x14ac:dyDescent="0.25">
      <c r="A491" s="330"/>
      <c r="B491" s="344"/>
      <c r="C491" s="207">
        <v>3</v>
      </c>
      <c r="D491" s="68" t="s">
        <v>370</v>
      </c>
      <c r="E491" s="209"/>
      <c r="F491" s="57"/>
      <c r="H491" s="29"/>
    </row>
    <row r="492" spans="1:8" ht="48" customHeight="1" x14ac:dyDescent="0.25">
      <c r="A492" s="330"/>
      <c r="B492" s="344"/>
      <c r="C492" s="207">
        <v>2</v>
      </c>
      <c r="D492" s="208" t="s">
        <v>371</v>
      </c>
      <c r="E492" s="209"/>
      <c r="F492" s="57"/>
      <c r="H492" s="29"/>
    </row>
    <row r="493" spans="1:8" x14ac:dyDescent="0.25">
      <c r="A493" s="330"/>
      <c r="B493" s="344"/>
      <c r="C493" s="207">
        <v>1</v>
      </c>
      <c r="D493" s="373" t="s">
        <v>80</v>
      </c>
      <c r="E493" s="418"/>
      <c r="H493" s="29"/>
    </row>
    <row r="494" spans="1:8" x14ac:dyDescent="0.25">
      <c r="A494" s="330"/>
      <c r="B494" s="344"/>
      <c r="C494" s="207">
        <v>0</v>
      </c>
      <c r="D494" s="374"/>
      <c r="E494" s="419"/>
      <c r="H494" s="29"/>
    </row>
    <row r="495" spans="1:8" ht="101.1" customHeight="1" x14ac:dyDescent="0.25">
      <c r="A495" s="330"/>
      <c r="B495" s="344"/>
      <c r="C495" s="327" t="s">
        <v>372</v>
      </c>
      <c r="D495" s="370"/>
      <c r="E495" s="33"/>
      <c r="F495" s="8" t="str">
        <f>IF(OR(E495&lt;2,AND(E495&gt;2,E495&lt;4),E495&gt;4),"Salah isi","judge")</f>
        <v>Salah isi</v>
      </c>
      <c r="H495" s="29"/>
    </row>
    <row r="496" spans="1:8" ht="48" customHeight="1" x14ac:dyDescent="0.25">
      <c r="A496" s="330"/>
      <c r="B496" s="344"/>
      <c r="C496" s="30">
        <v>4</v>
      </c>
      <c r="D496" s="68" t="s">
        <v>373</v>
      </c>
      <c r="E496" s="31"/>
      <c r="F496" s="57"/>
      <c r="H496" s="29"/>
    </row>
    <row r="497" spans="1:8" ht="15.95" customHeight="1" x14ac:dyDescent="0.25">
      <c r="A497" s="330"/>
      <c r="B497" s="344"/>
      <c r="C497" s="30">
        <v>3</v>
      </c>
      <c r="D497" s="68" t="s">
        <v>370</v>
      </c>
      <c r="E497" s="31"/>
      <c r="F497" s="57"/>
      <c r="H497" s="29"/>
    </row>
    <row r="498" spans="1:8" ht="48" customHeight="1" x14ac:dyDescent="0.25">
      <c r="A498" s="330"/>
      <c r="B498" s="344"/>
      <c r="C498" s="30">
        <v>2</v>
      </c>
      <c r="D498" s="68" t="s">
        <v>374</v>
      </c>
      <c r="E498" s="31"/>
      <c r="F498" s="57"/>
      <c r="H498" s="29"/>
    </row>
    <row r="499" spans="1:8" x14ac:dyDescent="0.25">
      <c r="A499" s="330"/>
      <c r="B499" s="344"/>
      <c r="C499" s="30">
        <v>1</v>
      </c>
      <c r="D499" s="373" t="s">
        <v>80</v>
      </c>
      <c r="E499" s="405"/>
      <c r="H499" s="29"/>
    </row>
    <row r="500" spans="1:8" x14ac:dyDescent="0.25">
      <c r="A500" s="330"/>
      <c r="B500" s="344"/>
      <c r="C500" s="30">
        <v>0</v>
      </c>
      <c r="D500" s="374"/>
      <c r="E500" s="406"/>
      <c r="H500" s="29"/>
    </row>
    <row r="501" spans="1:8" ht="62.1" customHeight="1" x14ac:dyDescent="0.25">
      <c r="A501" s="330"/>
      <c r="B501" s="344"/>
      <c r="C501" s="327" t="s">
        <v>375</v>
      </c>
      <c r="D501" s="370"/>
      <c r="E501" s="33"/>
      <c r="F501" s="8" t="str">
        <f>IF(OR(ISBLANK(E501),E501&gt;4),"Salah isi","judge")</f>
        <v>Salah isi</v>
      </c>
      <c r="H501" s="29"/>
    </row>
    <row r="502" spans="1:8" ht="45" customHeight="1" x14ac:dyDescent="0.25">
      <c r="A502" s="330"/>
      <c r="B502" s="344"/>
      <c r="C502" s="30">
        <v>4</v>
      </c>
      <c r="D502" s="68" t="s">
        <v>376</v>
      </c>
      <c r="E502" s="31"/>
      <c r="F502" s="57"/>
      <c r="H502" s="29"/>
    </row>
    <row r="503" spans="1:8" ht="45" customHeight="1" x14ac:dyDescent="0.25">
      <c r="A503" s="330"/>
      <c r="B503" s="344"/>
      <c r="C503" s="30">
        <v>3</v>
      </c>
      <c r="D503" s="68" t="s">
        <v>377</v>
      </c>
      <c r="E503" s="31"/>
      <c r="F503" s="57"/>
      <c r="H503" s="29"/>
    </row>
    <row r="504" spans="1:8" ht="45" customHeight="1" x14ac:dyDescent="0.25">
      <c r="A504" s="330"/>
      <c r="B504" s="344"/>
      <c r="C504" s="30">
        <v>2</v>
      </c>
      <c r="D504" s="68" t="s">
        <v>378</v>
      </c>
      <c r="E504" s="31"/>
      <c r="F504" s="57"/>
      <c r="H504" s="29"/>
    </row>
    <row r="505" spans="1:8" ht="48" customHeight="1" x14ac:dyDescent="0.25">
      <c r="A505" s="330"/>
      <c r="B505" s="344"/>
      <c r="C505" s="30">
        <v>1</v>
      </c>
      <c r="D505" s="68" t="s">
        <v>379</v>
      </c>
      <c r="E505" s="31"/>
      <c r="H505" s="29"/>
    </row>
    <row r="506" spans="1:8" ht="30" customHeight="1" x14ac:dyDescent="0.25">
      <c r="A506" s="330"/>
      <c r="B506" s="344"/>
      <c r="C506" s="30">
        <v>0</v>
      </c>
      <c r="D506" s="68" t="s">
        <v>380</v>
      </c>
      <c r="E506" s="32"/>
      <c r="H506" s="29"/>
    </row>
    <row r="507" spans="1:8" ht="15" customHeight="1" x14ac:dyDescent="0.25">
      <c r="A507" s="331"/>
      <c r="B507" s="345"/>
      <c r="C507" s="337" t="s">
        <v>381</v>
      </c>
      <c r="D507" s="375"/>
      <c r="E507" s="25">
        <f>IF(OR(F477="Salah isi",F489="Salah isi",F501="Salah isi",F483="Salah Isi",F495="Salah Isi"),0,(E477+2*E483+2*E489+2*E495+2*E501)/9)</f>
        <v>0</v>
      </c>
      <c r="H507" s="29"/>
    </row>
    <row r="508" spans="1:8" ht="15" customHeight="1" x14ac:dyDescent="0.25">
      <c r="A508" s="26"/>
      <c r="B508" s="26"/>
      <c r="C508" s="27"/>
      <c r="D508" s="64"/>
      <c r="E508" s="28"/>
      <c r="H508" s="29"/>
    </row>
    <row r="509" spans="1:8" ht="53.45" customHeight="1" x14ac:dyDescent="0.25">
      <c r="A509" s="329">
        <v>42</v>
      </c>
      <c r="B509" s="409"/>
      <c r="C509" s="352" t="s">
        <v>382</v>
      </c>
      <c r="D509" s="352"/>
      <c r="E509" s="46"/>
      <c r="H509" s="210"/>
    </row>
    <row r="510" spans="1:8" ht="33.75" customHeight="1" x14ac:dyDescent="0.25">
      <c r="A510" s="330"/>
      <c r="B510" s="410"/>
      <c r="C510" s="327" t="s">
        <v>383</v>
      </c>
      <c r="D510" s="328"/>
      <c r="E510" s="58">
        <v>480</v>
      </c>
      <c r="F510" s="8" t="s">
        <v>94</v>
      </c>
      <c r="G510" s="37"/>
      <c r="H510" s="29"/>
    </row>
    <row r="511" spans="1:8" ht="19.350000000000001" customHeight="1" x14ac:dyDescent="0.25">
      <c r="A511" s="330"/>
      <c r="B511" s="410"/>
      <c r="C511" s="327" t="s">
        <v>384</v>
      </c>
      <c r="D511" s="328"/>
      <c r="E511" s="58">
        <v>6360</v>
      </c>
      <c r="F511" s="8" t="s">
        <v>94</v>
      </c>
      <c r="G511" s="37"/>
      <c r="H511" s="29"/>
    </row>
    <row r="512" spans="1:8" ht="15.75" customHeight="1" x14ac:dyDescent="0.25">
      <c r="A512" s="330"/>
      <c r="B512" s="410"/>
      <c r="C512" s="327" t="s">
        <v>385</v>
      </c>
      <c r="D512" s="328"/>
      <c r="E512" s="107">
        <f>IF(E511&gt;0,E510/E511,0)</f>
        <v>7.5471698113207544E-2</v>
      </c>
      <c r="G512" s="43"/>
      <c r="H512" s="29"/>
    </row>
    <row r="513" spans="1:8" ht="14.45" hidden="1" customHeight="1" x14ac:dyDescent="0.25">
      <c r="A513" s="330"/>
      <c r="B513" s="410"/>
      <c r="C513" s="124" t="s">
        <v>152</v>
      </c>
      <c r="D513" s="155">
        <v>0.2</v>
      </c>
      <c r="E513" s="159"/>
      <c r="G513" s="43"/>
      <c r="H513" s="29"/>
    </row>
    <row r="514" spans="1:8" ht="15.95" customHeight="1" x14ac:dyDescent="0.25">
      <c r="A514" s="331"/>
      <c r="B514" s="411"/>
      <c r="C514" s="341" t="s">
        <v>34</v>
      </c>
      <c r="D514" s="342"/>
      <c r="E514" s="25">
        <f>IF(E512&gt;=D513,4,4/D513*E512)</f>
        <v>1.5094339622641508</v>
      </c>
      <c r="H514" s="29"/>
    </row>
    <row r="515" spans="1:8" ht="15.95" customHeight="1" x14ac:dyDescent="0.25">
      <c r="C515" s="39"/>
      <c r="D515" s="70"/>
      <c r="H515" s="39"/>
    </row>
    <row r="516" spans="1:8" ht="53.45" customHeight="1" x14ac:dyDescent="0.25">
      <c r="A516" s="329">
        <v>43</v>
      </c>
      <c r="B516" s="343" t="s">
        <v>386</v>
      </c>
      <c r="C516" s="335" t="s">
        <v>387</v>
      </c>
      <c r="D516" s="336"/>
      <c r="E516" s="21"/>
      <c r="F516" s="8" t="str">
        <f>IF(OR(ISBLANK(E516),E516&gt;4),"Salah isi","judge")</f>
        <v>Salah isi</v>
      </c>
      <c r="H516" s="210"/>
    </row>
    <row r="517" spans="1:8" ht="63.95" customHeight="1" x14ac:dyDescent="0.25">
      <c r="A517" s="330"/>
      <c r="B517" s="344"/>
      <c r="C517" s="22">
        <v>4</v>
      </c>
      <c r="D517" s="62" t="s">
        <v>388</v>
      </c>
      <c r="E517" s="23"/>
      <c r="H517" s="29"/>
    </row>
    <row r="518" spans="1:8" ht="63.95" customHeight="1" x14ac:dyDescent="0.25">
      <c r="A518" s="330"/>
      <c r="B518" s="344"/>
      <c r="C518" s="22">
        <v>3</v>
      </c>
      <c r="D518" s="62" t="s">
        <v>389</v>
      </c>
      <c r="E518" s="23"/>
      <c r="H518" s="29"/>
    </row>
    <row r="519" spans="1:8" ht="48" customHeight="1" x14ac:dyDescent="0.25">
      <c r="A519" s="330"/>
      <c r="B519" s="344"/>
      <c r="C519" s="22">
        <v>2</v>
      </c>
      <c r="D519" s="62" t="s">
        <v>390</v>
      </c>
      <c r="E519" s="23"/>
      <c r="H519" s="29"/>
    </row>
    <row r="520" spans="1:8" ht="48" customHeight="1" x14ac:dyDescent="0.25">
      <c r="A520" s="330"/>
      <c r="B520" s="344"/>
      <c r="C520" s="22">
        <v>1</v>
      </c>
      <c r="D520" s="62" t="s">
        <v>391</v>
      </c>
      <c r="E520" s="23"/>
      <c r="H520" s="29"/>
    </row>
    <row r="521" spans="1:8" ht="48" customHeight="1" x14ac:dyDescent="0.25">
      <c r="A521" s="330"/>
      <c r="B521" s="344"/>
      <c r="C521" s="22">
        <v>0</v>
      </c>
      <c r="D521" s="62" t="s">
        <v>392</v>
      </c>
      <c r="E521" s="24"/>
      <c r="H521" s="29"/>
    </row>
    <row r="522" spans="1:8" ht="15" customHeight="1" x14ac:dyDescent="0.25">
      <c r="A522" s="331"/>
      <c r="B522" s="345"/>
      <c r="C522" s="337" t="s">
        <v>34</v>
      </c>
      <c r="D522" s="338"/>
      <c r="E522" s="25">
        <f>IF(F516="Salah isi",0,E516)</f>
        <v>0</v>
      </c>
      <c r="H522" s="29"/>
    </row>
    <row r="523" spans="1:8" ht="15" customHeight="1" x14ac:dyDescent="0.25">
      <c r="A523" s="26"/>
      <c r="B523" s="26"/>
      <c r="C523" s="27"/>
      <c r="D523" s="64"/>
      <c r="E523" s="28"/>
      <c r="H523" s="29"/>
    </row>
    <row r="524" spans="1:8" ht="67.349999999999994" customHeight="1" x14ac:dyDescent="0.25">
      <c r="A524" s="329">
        <v>44</v>
      </c>
      <c r="B524" s="343" t="s">
        <v>393</v>
      </c>
      <c r="C524" s="335" t="s">
        <v>394</v>
      </c>
      <c r="D524" s="369"/>
      <c r="E524" s="21"/>
      <c r="F524" s="8" t="str">
        <f>IF(OR(ISBLANK(E524),E524&gt;4),"Salah isi","judge")</f>
        <v>Salah isi</v>
      </c>
      <c r="H524" s="210"/>
    </row>
    <row r="525" spans="1:8" ht="48" customHeight="1" x14ac:dyDescent="0.25">
      <c r="A525" s="330"/>
      <c r="B525" s="344"/>
      <c r="C525" s="30">
        <v>4</v>
      </c>
      <c r="D525" s="66" t="s">
        <v>395</v>
      </c>
      <c r="E525" s="31"/>
      <c r="H525" s="29"/>
    </row>
    <row r="526" spans="1:8" ht="48" customHeight="1" x14ac:dyDescent="0.25">
      <c r="A526" s="330"/>
      <c r="B526" s="344"/>
      <c r="C526" s="30">
        <v>3</v>
      </c>
      <c r="D526" s="66" t="s">
        <v>396</v>
      </c>
      <c r="E526" s="31"/>
      <c r="H526" s="29"/>
    </row>
    <row r="527" spans="1:8" ht="32.1" customHeight="1" x14ac:dyDescent="0.25">
      <c r="A527" s="330"/>
      <c r="B527" s="344"/>
      <c r="C527" s="30">
        <v>2</v>
      </c>
      <c r="D527" s="66" t="s">
        <v>397</v>
      </c>
      <c r="E527" s="31"/>
      <c r="H527" s="29"/>
    </row>
    <row r="528" spans="1:8" ht="32.1" customHeight="1" x14ac:dyDescent="0.25">
      <c r="A528" s="330"/>
      <c r="B528" s="344"/>
      <c r="C528" s="30">
        <v>1</v>
      </c>
      <c r="D528" s="66" t="s">
        <v>398</v>
      </c>
      <c r="E528" s="31"/>
      <c r="H528" s="29"/>
    </row>
    <row r="529" spans="1:8" ht="15.95" customHeight="1" x14ac:dyDescent="0.25">
      <c r="A529" s="330"/>
      <c r="B529" s="344"/>
      <c r="C529" s="30">
        <v>0</v>
      </c>
      <c r="D529" s="66" t="s">
        <v>399</v>
      </c>
      <c r="E529" s="32"/>
      <c r="H529" s="29"/>
    </row>
    <row r="530" spans="1:8" ht="83.1" customHeight="1" x14ac:dyDescent="0.25">
      <c r="A530" s="330"/>
      <c r="B530" s="344"/>
      <c r="C530" s="327" t="s">
        <v>400</v>
      </c>
      <c r="D530" s="370"/>
      <c r="E530" s="33"/>
      <c r="F530" s="8" t="str">
        <f>IF(OR(ISBLANK(E530),E530&gt;4),"Salah isi","judge")</f>
        <v>Salah isi</v>
      </c>
      <c r="H530" s="29"/>
    </row>
    <row r="531" spans="1:8" ht="48" customHeight="1" x14ac:dyDescent="0.25">
      <c r="A531" s="330"/>
      <c r="B531" s="344"/>
      <c r="C531" s="30">
        <v>4</v>
      </c>
      <c r="D531" s="68" t="s">
        <v>401</v>
      </c>
      <c r="E531" s="31"/>
      <c r="F531" s="57"/>
      <c r="H531" s="29"/>
    </row>
    <row r="532" spans="1:8" ht="48" customHeight="1" x14ac:dyDescent="0.25">
      <c r="A532" s="330"/>
      <c r="B532" s="344"/>
      <c r="C532" s="30">
        <v>3</v>
      </c>
      <c r="D532" s="68" t="s">
        <v>402</v>
      </c>
      <c r="E532" s="31"/>
      <c r="F532" s="57"/>
      <c r="H532" s="29"/>
    </row>
    <row r="533" spans="1:8" ht="48" customHeight="1" x14ac:dyDescent="0.25">
      <c r="A533" s="330"/>
      <c r="B533" s="344"/>
      <c r="C533" s="30">
        <v>2</v>
      </c>
      <c r="D533" s="68" t="s">
        <v>403</v>
      </c>
      <c r="E533" s="31"/>
      <c r="F533" s="57"/>
      <c r="H533" s="29"/>
    </row>
    <row r="534" spans="1:8" ht="48" customHeight="1" x14ac:dyDescent="0.25">
      <c r="A534" s="330"/>
      <c r="B534" s="344"/>
      <c r="C534" s="30">
        <v>1</v>
      </c>
      <c r="D534" s="68" t="s">
        <v>404</v>
      </c>
      <c r="E534" s="31"/>
      <c r="H534" s="29"/>
    </row>
    <row r="535" spans="1:8" ht="30" customHeight="1" x14ac:dyDescent="0.25">
      <c r="A535" s="330"/>
      <c r="B535" s="344"/>
      <c r="C535" s="30">
        <v>0</v>
      </c>
      <c r="D535" s="68" t="s">
        <v>405</v>
      </c>
      <c r="E535" s="32"/>
      <c r="H535" s="29"/>
    </row>
    <row r="536" spans="1:8" ht="155.44999999999999" customHeight="1" x14ac:dyDescent="0.25">
      <c r="A536" s="330"/>
      <c r="B536" s="344"/>
      <c r="C536" s="327" t="s">
        <v>406</v>
      </c>
      <c r="D536" s="370"/>
      <c r="E536" s="33"/>
      <c r="F536" s="8" t="str">
        <f>IF(OR(ISBLANK(E536),E536&gt;4),"Salah isi","judge")</f>
        <v>Salah isi</v>
      </c>
      <c r="H536" s="29"/>
    </row>
    <row r="537" spans="1:8" ht="48" customHeight="1" x14ac:dyDescent="0.25">
      <c r="A537" s="330"/>
      <c r="B537" s="344"/>
      <c r="C537" s="30">
        <v>4</v>
      </c>
      <c r="D537" s="68" t="s">
        <v>401</v>
      </c>
      <c r="E537" s="31"/>
      <c r="F537" s="57"/>
      <c r="H537" s="29"/>
    </row>
    <row r="538" spans="1:8" ht="48" customHeight="1" x14ac:dyDescent="0.25">
      <c r="A538" s="330"/>
      <c r="B538" s="344"/>
      <c r="C538" s="30">
        <v>3</v>
      </c>
      <c r="D538" s="68" t="s">
        <v>402</v>
      </c>
      <c r="E538" s="31"/>
      <c r="F538" s="57"/>
      <c r="H538" s="29"/>
    </row>
    <row r="539" spans="1:8" ht="48" customHeight="1" x14ac:dyDescent="0.25">
      <c r="A539" s="330"/>
      <c r="B539" s="344"/>
      <c r="C539" s="30">
        <v>2</v>
      </c>
      <c r="D539" s="68" t="s">
        <v>403</v>
      </c>
      <c r="E539" s="31"/>
      <c r="F539" s="57"/>
      <c r="H539" s="29"/>
    </row>
    <row r="540" spans="1:8" ht="48" customHeight="1" x14ac:dyDescent="0.25">
      <c r="A540" s="330"/>
      <c r="B540" s="344"/>
      <c r="C540" s="30">
        <v>1</v>
      </c>
      <c r="D540" s="68" t="s">
        <v>404</v>
      </c>
      <c r="E540" s="31"/>
      <c r="H540" s="29"/>
    </row>
    <row r="541" spans="1:8" ht="30" customHeight="1" x14ac:dyDescent="0.25">
      <c r="A541" s="330"/>
      <c r="B541" s="344"/>
      <c r="C541" s="30">
        <v>0</v>
      </c>
      <c r="D541" s="68" t="s">
        <v>405</v>
      </c>
      <c r="E541" s="32"/>
      <c r="H541" s="29"/>
    </row>
    <row r="542" spans="1:8" ht="39.75" hidden="1" customHeight="1" x14ac:dyDescent="0.25">
      <c r="A542" s="330"/>
      <c r="B542" s="344"/>
      <c r="C542" s="367"/>
      <c r="D542" s="412"/>
      <c r="E542" s="108"/>
      <c r="H542" s="29"/>
    </row>
    <row r="543" spans="1:8" ht="14.45" hidden="1" customHeight="1" x14ac:dyDescent="0.25">
      <c r="A543" s="330"/>
      <c r="B543" s="344"/>
      <c r="C543" s="104"/>
      <c r="D543" s="105"/>
      <c r="E543" s="106"/>
      <c r="H543" s="29"/>
    </row>
    <row r="544" spans="1:8" ht="14.45" hidden="1" customHeight="1" x14ac:dyDescent="0.25">
      <c r="A544" s="330"/>
      <c r="B544" s="344"/>
      <c r="C544" s="104"/>
      <c r="D544" s="105"/>
      <c r="E544" s="106"/>
      <c r="H544" s="29"/>
    </row>
    <row r="545" spans="1:8" ht="14.45" hidden="1" customHeight="1" x14ac:dyDescent="0.25">
      <c r="A545" s="330"/>
      <c r="B545" s="344"/>
      <c r="C545" s="104"/>
      <c r="D545" s="109"/>
      <c r="E545" s="110"/>
      <c r="H545" s="29"/>
    </row>
    <row r="546" spans="1:8" ht="14.45" hidden="1" customHeight="1" x14ac:dyDescent="0.25">
      <c r="A546" s="330"/>
      <c r="B546" s="344"/>
      <c r="C546" s="104"/>
      <c r="D546" s="111"/>
      <c r="E546" s="112"/>
      <c r="H546" s="29"/>
    </row>
    <row r="547" spans="1:8" ht="14.45" hidden="1" customHeight="1" x14ac:dyDescent="0.25">
      <c r="A547" s="330"/>
      <c r="B547" s="344"/>
      <c r="C547" s="104"/>
      <c r="D547" s="111"/>
      <c r="E547" s="112"/>
      <c r="H547" s="29"/>
    </row>
    <row r="548" spans="1:8" ht="39.75" hidden="1" customHeight="1" x14ac:dyDescent="0.25">
      <c r="A548" s="330"/>
      <c r="B548" s="344"/>
      <c r="C548" s="367"/>
      <c r="D548" s="412"/>
      <c r="E548" s="108"/>
      <c r="H548" s="29"/>
    </row>
    <row r="549" spans="1:8" ht="14.45" hidden="1" customHeight="1" x14ac:dyDescent="0.25">
      <c r="A549" s="330"/>
      <c r="B549" s="344"/>
      <c r="C549" s="104"/>
      <c r="D549" s="105"/>
      <c r="E549" s="106"/>
      <c r="H549" s="29"/>
    </row>
    <row r="550" spans="1:8" ht="14.45" hidden="1" customHeight="1" x14ac:dyDescent="0.25">
      <c r="A550" s="330"/>
      <c r="B550" s="344"/>
      <c r="C550" s="104"/>
      <c r="D550" s="105"/>
      <c r="E550" s="106"/>
      <c r="F550" s="57"/>
      <c r="H550" s="29"/>
    </row>
    <row r="551" spans="1:8" ht="14.45" hidden="1" customHeight="1" x14ac:dyDescent="0.25">
      <c r="A551" s="330"/>
      <c r="B551" s="344"/>
      <c r="C551" s="104"/>
      <c r="D551" s="105"/>
      <c r="E551" s="106"/>
      <c r="F551" s="57"/>
      <c r="H551" s="29"/>
    </row>
    <row r="552" spans="1:8" ht="14.45" hidden="1" customHeight="1" x14ac:dyDescent="0.25">
      <c r="A552" s="330"/>
      <c r="B552" s="344"/>
      <c r="C552" s="104"/>
      <c r="D552" s="105"/>
      <c r="E552" s="106"/>
      <c r="H552" s="29"/>
    </row>
    <row r="553" spans="1:8" ht="14.45" hidden="1" customHeight="1" x14ac:dyDescent="0.25">
      <c r="A553" s="330"/>
      <c r="B553" s="344"/>
      <c r="C553" s="104"/>
      <c r="D553" s="105"/>
      <c r="E553" s="103"/>
      <c r="H553" s="29"/>
    </row>
    <row r="554" spans="1:8" ht="15" customHeight="1" x14ac:dyDescent="0.25">
      <c r="A554" s="331"/>
      <c r="B554" s="345"/>
      <c r="C554" s="337" t="s">
        <v>335</v>
      </c>
      <c r="D554" s="375"/>
      <c r="E554" s="25">
        <f>IF(OR(F524="Salah isi",F530="Salah isi",F536="Salah Isi"),0,(E524+2*E530+2*E536)/5)</f>
        <v>0</v>
      </c>
      <c r="H554" s="29"/>
    </row>
    <row r="555" spans="1:8" ht="15" customHeight="1" x14ac:dyDescent="0.25">
      <c r="A555" s="26"/>
      <c r="B555" s="26"/>
      <c r="C555" s="27"/>
      <c r="D555" s="64"/>
      <c r="E555" s="28"/>
      <c r="H555" s="29"/>
    </row>
    <row r="556" spans="1:8" ht="53.45" customHeight="1" x14ac:dyDescent="0.25">
      <c r="A556" s="329">
        <v>45</v>
      </c>
      <c r="B556" s="343" t="s">
        <v>407</v>
      </c>
      <c r="C556" s="352" t="s">
        <v>408</v>
      </c>
      <c r="D556" s="352"/>
      <c r="E556" s="46"/>
      <c r="H556" s="210"/>
    </row>
    <row r="557" spans="1:8" ht="33.75" customHeight="1" x14ac:dyDescent="0.25">
      <c r="A557" s="330"/>
      <c r="B557" s="344"/>
      <c r="C557" s="327" t="s">
        <v>409</v>
      </c>
      <c r="D557" s="328"/>
      <c r="E557" s="58">
        <v>0</v>
      </c>
      <c r="F557" s="8" t="s">
        <v>94</v>
      </c>
      <c r="G557" s="37"/>
      <c r="H557" s="29"/>
    </row>
    <row r="558" spans="1:8" ht="30.75" hidden="1" customHeight="1" x14ac:dyDescent="0.25">
      <c r="A558" s="330"/>
      <c r="B558" s="344"/>
      <c r="C558" s="162"/>
      <c r="D558" s="162"/>
      <c r="E558" s="152"/>
      <c r="G558" s="37"/>
      <c r="H558" s="29"/>
    </row>
    <row r="559" spans="1:8" ht="14.45" hidden="1" customHeight="1" x14ac:dyDescent="0.25">
      <c r="A559" s="330"/>
      <c r="B559" s="344"/>
      <c r="C559" s="162"/>
      <c r="D559" s="162"/>
      <c r="E559" s="152"/>
      <c r="G559" s="37"/>
      <c r="H559" s="29"/>
    </row>
    <row r="560" spans="1:8" ht="14.45" hidden="1" customHeight="1" x14ac:dyDescent="0.25">
      <c r="A560" s="330"/>
      <c r="B560" s="344"/>
      <c r="C560" s="144"/>
      <c r="D560" s="157"/>
      <c r="E560" s="163"/>
      <c r="G560" s="43"/>
      <c r="H560" s="29"/>
    </row>
    <row r="561" spans="1:8" ht="14.45" hidden="1" customHeight="1" x14ac:dyDescent="0.25">
      <c r="A561" s="330"/>
      <c r="B561" s="344"/>
      <c r="C561" s="144"/>
      <c r="D561" s="157"/>
      <c r="E561" s="163"/>
      <c r="G561" s="43"/>
      <c r="H561" s="29"/>
    </row>
    <row r="562" spans="1:8" ht="15.95" customHeight="1" x14ac:dyDescent="0.25">
      <c r="A562" s="331"/>
      <c r="B562" s="345"/>
      <c r="C562" s="341" t="s">
        <v>34</v>
      </c>
      <c r="D562" s="342"/>
      <c r="E562" s="25">
        <f>IF(E557&gt;3,4,IF(E557&gt;=2,3,2))</f>
        <v>2</v>
      </c>
      <c r="H562" s="29"/>
    </row>
    <row r="563" spans="1:8" ht="15.95" customHeight="1" x14ac:dyDescent="0.25">
      <c r="C563" s="39"/>
      <c r="D563" s="70"/>
      <c r="H563" s="39"/>
    </row>
    <row r="564" spans="1:8" ht="65.099999999999994" customHeight="1" x14ac:dyDescent="0.25">
      <c r="A564" s="329">
        <v>46</v>
      </c>
      <c r="B564" s="343" t="s">
        <v>410</v>
      </c>
      <c r="C564" s="335" t="s">
        <v>411</v>
      </c>
      <c r="D564" s="336"/>
      <c r="E564" s="21"/>
      <c r="F564" s="8" t="str">
        <f>IF(OR(E564&lt;1,E564&gt;4),"Salah isi","judge")</f>
        <v>Salah isi</v>
      </c>
      <c r="H564" s="210"/>
    </row>
    <row r="565" spans="1:8" ht="15.95" customHeight="1" x14ac:dyDescent="0.25">
      <c r="A565" s="330"/>
      <c r="B565" s="344"/>
      <c r="C565" s="22">
        <v>4</v>
      </c>
      <c r="D565" s="62" t="s">
        <v>412</v>
      </c>
      <c r="E565" s="23"/>
      <c r="H565" s="29"/>
    </row>
    <row r="566" spans="1:8" ht="15.95" customHeight="1" x14ac:dyDescent="0.25">
      <c r="A566" s="330"/>
      <c r="B566" s="344"/>
      <c r="C566" s="22">
        <v>3</v>
      </c>
      <c r="D566" s="62" t="s">
        <v>413</v>
      </c>
      <c r="E566" s="23"/>
      <c r="H566" s="29"/>
    </row>
    <row r="567" spans="1:8" ht="15.95" customHeight="1" x14ac:dyDescent="0.25">
      <c r="A567" s="330"/>
      <c r="B567" s="344"/>
      <c r="C567" s="22">
        <v>2</v>
      </c>
      <c r="D567" s="62" t="s">
        <v>414</v>
      </c>
      <c r="E567" s="23"/>
      <c r="H567" s="29"/>
    </row>
    <row r="568" spans="1:8" ht="15.95" customHeight="1" x14ac:dyDescent="0.25">
      <c r="A568" s="330"/>
      <c r="B568" s="344"/>
      <c r="C568" s="22">
        <v>1</v>
      </c>
      <c r="D568" s="62" t="s">
        <v>415</v>
      </c>
      <c r="E568" s="23"/>
      <c r="H568" s="29"/>
    </row>
    <row r="569" spans="1:8" ht="15.95" customHeight="1" x14ac:dyDescent="0.25">
      <c r="A569" s="330"/>
      <c r="B569" s="344"/>
      <c r="C569" s="22">
        <v>0</v>
      </c>
      <c r="D569" s="62" t="s">
        <v>73</v>
      </c>
      <c r="E569" s="24"/>
      <c r="H569" s="29"/>
    </row>
    <row r="570" spans="1:8" ht="15" customHeight="1" x14ac:dyDescent="0.25">
      <c r="A570" s="331"/>
      <c r="B570" s="345"/>
      <c r="C570" s="337" t="s">
        <v>34</v>
      </c>
      <c r="D570" s="338"/>
      <c r="E570" s="25">
        <f>IF(F564="Salah isi",0,E564)</f>
        <v>0</v>
      </c>
      <c r="H570" s="29"/>
    </row>
    <row r="571" spans="1:8" ht="15" customHeight="1" x14ac:dyDescent="0.25">
      <c r="A571" s="26"/>
      <c r="B571" s="26"/>
      <c r="C571" s="27"/>
      <c r="D571" s="64"/>
      <c r="E571" s="28"/>
      <c r="H571" s="29"/>
    </row>
    <row r="572" spans="1:8" ht="180" customHeight="1" x14ac:dyDescent="0.25">
      <c r="A572" s="329">
        <v>47</v>
      </c>
      <c r="B572" s="343" t="s">
        <v>416</v>
      </c>
      <c r="C572" s="335" t="s">
        <v>417</v>
      </c>
      <c r="D572" s="369"/>
      <c r="E572" s="114"/>
      <c r="H572" s="210"/>
    </row>
    <row r="573" spans="1:8" ht="15.75" customHeight="1" x14ac:dyDescent="0.25">
      <c r="A573" s="330"/>
      <c r="B573" s="344"/>
      <c r="C573" s="346" t="s">
        <v>418</v>
      </c>
      <c r="D573" s="72" t="s">
        <v>419</v>
      </c>
      <c r="E573" s="76">
        <v>0.6</v>
      </c>
      <c r="F573" s="8" t="s">
        <v>94</v>
      </c>
      <c r="H573" s="29"/>
    </row>
    <row r="574" spans="1:8" ht="15" customHeight="1" x14ac:dyDescent="0.25">
      <c r="A574" s="330"/>
      <c r="B574" s="344"/>
      <c r="C574" s="347"/>
      <c r="D574" s="72" t="s">
        <v>420</v>
      </c>
      <c r="E574" s="76">
        <v>0.4</v>
      </c>
      <c r="F574" s="8" t="s">
        <v>94</v>
      </c>
      <c r="H574" s="29"/>
    </row>
    <row r="575" spans="1:8" ht="15" customHeight="1" x14ac:dyDescent="0.25">
      <c r="A575" s="330"/>
      <c r="B575" s="344"/>
      <c r="C575" s="347"/>
      <c r="D575" s="72" t="s">
        <v>421</v>
      </c>
      <c r="E575" s="76">
        <v>0.2</v>
      </c>
      <c r="F575" s="8" t="s">
        <v>94</v>
      </c>
      <c r="H575" s="29"/>
    </row>
    <row r="576" spans="1:8" ht="15" customHeight="1" x14ac:dyDescent="0.25">
      <c r="A576" s="330"/>
      <c r="B576" s="344"/>
      <c r="C576" s="347"/>
      <c r="D576" s="72" t="s">
        <v>422</v>
      </c>
      <c r="E576" s="76">
        <v>0.1</v>
      </c>
      <c r="F576" s="8" t="s">
        <v>94</v>
      </c>
      <c r="H576" s="29"/>
    </row>
    <row r="577" spans="1:8" ht="15" customHeight="1" x14ac:dyDescent="0.25">
      <c r="A577" s="330"/>
      <c r="B577" s="344"/>
      <c r="C577" s="348"/>
      <c r="D577" s="73" t="s">
        <v>423</v>
      </c>
      <c r="E577" s="56">
        <f>IF((4*E573+3*E574+2*E575+E576)/4&gt;100%,0,(4*E573+3*E574+2*E575+E576)/4)</f>
        <v>0</v>
      </c>
      <c r="H577" s="29"/>
    </row>
    <row r="578" spans="1:8" ht="15.75" customHeight="1" x14ac:dyDescent="0.25">
      <c r="A578" s="330"/>
      <c r="B578" s="344"/>
      <c r="C578" s="346" t="s">
        <v>424</v>
      </c>
      <c r="D578" s="72" t="s">
        <v>419</v>
      </c>
      <c r="E578" s="76">
        <v>0.35</v>
      </c>
      <c r="F578" s="8" t="s">
        <v>94</v>
      </c>
      <c r="H578" s="29"/>
    </row>
    <row r="579" spans="1:8" ht="15" customHeight="1" x14ac:dyDescent="0.25">
      <c r="A579" s="330"/>
      <c r="B579" s="344"/>
      <c r="C579" s="347"/>
      <c r="D579" s="72" t="s">
        <v>420</v>
      </c>
      <c r="E579" s="76">
        <v>0.3</v>
      </c>
      <c r="F579" s="8" t="s">
        <v>94</v>
      </c>
      <c r="H579" s="29"/>
    </row>
    <row r="580" spans="1:8" ht="15" customHeight="1" x14ac:dyDescent="0.25">
      <c r="A580" s="330"/>
      <c r="B580" s="344"/>
      <c r="C580" s="347"/>
      <c r="D580" s="72" t="s">
        <v>421</v>
      </c>
      <c r="E580" s="76">
        <v>0.25</v>
      </c>
      <c r="F580" s="8" t="s">
        <v>94</v>
      </c>
      <c r="H580" s="29"/>
    </row>
    <row r="581" spans="1:8" ht="15" customHeight="1" x14ac:dyDescent="0.25">
      <c r="A581" s="330"/>
      <c r="B581" s="344"/>
      <c r="C581" s="347"/>
      <c r="D581" s="72" t="s">
        <v>422</v>
      </c>
      <c r="E581" s="76">
        <v>0.2</v>
      </c>
      <c r="F581" s="8" t="s">
        <v>94</v>
      </c>
      <c r="H581" s="29"/>
    </row>
    <row r="582" spans="1:8" ht="15" customHeight="1" x14ac:dyDescent="0.25">
      <c r="A582" s="330"/>
      <c r="B582" s="344"/>
      <c r="C582" s="348"/>
      <c r="D582" s="73" t="s">
        <v>425</v>
      </c>
      <c r="E582" s="56">
        <f>IF((4*E578+3*E579+2*E580+E581)/4&gt;100%,0,(4*E578+3*E579+2*E580+E581)/4)</f>
        <v>0.75</v>
      </c>
      <c r="H582" s="29"/>
    </row>
    <row r="583" spans="1:8" ht="15.75" customHeight="1" x14ac:dyDescent="0.25">
      <c r="A583" s="330"/>
      <c r="B583" s="344"/>
      <c r="C583" s="346" t="s">
        <v>426</v>
      </c>
      <c r="D583" s="72" t="s">
        <v>419</v>
      </c>
      <c r="E583" s="76">
        <v>0.3</v>
      </c>
      <c r="F583" s="8" t="s">
        <v>94</v>
      </c>
      <c r="H583" s="29"/>
    </row>
    <row r="584" spans="1:8" ht="15" customHeight="1" x14ac:dyDescent="0.25">
      <c r="A584" s="330"/>
      <c r="B584" s="344"/>
      <c r="C584" s="347"/>
      <c r="D584" s="72" t="s">
        <v>420</v>
      </c>
      <c r="E584" s="76">
        <v>0.4</v>
      </c>
      <c r="F584" s="8" t="s">
        <v>94</v>
      </c>
      <c r="H584" s="29"/>
    </row>
    <row r="585" spans="1:8" ht="15" customHeight="1" x14ac:dyDescent="0.25">
      <c r="A585" s="330"/>
      <c r="B585" s="344"/>
      <c r="C585" s="347"/>
      <c r="D585" s="72" t="s">
        <v>421</v>
      </c>
      <c r="E585" s="76">
        <v>0.2</v>
      </c>
      <c r="F585" s="8" t="s">
        <v>94</v>
      </c>
      <c r="H585" s="29"/>
    </row>
    <row r="586" spans="1:8" ht="15" customHeight="1" x14ac:dyDescent="0.25">
      <c r="A586" s="330"/>
      <c r="B586" s="344"/>
      <c r="C586" s="347"/>
      <c r="D586" s="72" t="s">
        <v>422</v>
      </c>
      <c r="E586" s="76">
        <v>0.1</v>
      </c>
      <c r="F586" s="8" t="s">
        <v>94</v>
      </c>
      <c r="H586" s="29"/>
    </row>
    <row r="587" spans="1:8" ht="15" customHeight="1" x14ac:dyDescent="0.25">
      <c r="A587" s="330"/>
      <c r="B587" s="344"/>
      <c r="C587" s="348"/>
      <c r="D587" s="73" t="s">
        <v>427</v>
      </c>
      <c r="E587" s="56">
        <f>IF((4*E583+3*E584+2*E585+E586)/4&gt;100%,0,(4*E583+3*E584+2*E585+E586)/4)</f>
        <v>0.72500000000000009</v>
      </c>
      <c r="H587" s="29"/>
    </row>
    <row r="588" spans="1:8" ht="15.75" customHeight="1" x14ac:dyDescent="0.25">
      <c r="A588" s="330"/>
      <c r="B588" s="344"/>
      <c r="C588" s="349" t="s">
        <v>428</v>
      </c>
      <c r="D588" s="72" t="s">
        <v>419</v>
      </c>
      <c r="E588" s="76">
        <v>0.35</v>
      </c>
      <c r="F588" s="8" t="s">
        <v>94</v>
      </c>
      <c r="H588" s="29"/>
    </row>
    <row r="589" spans="1:8" ht="15" customHeight="1" x14ac:dyDescent="0.25">
      <c r="A589" s="330"/>
      <c r="B589" s="344"/>
      <c r="C589" s="350"/>
      <c r="D589" s="72" t="s">
        <v>420</v>
      </c>
      <c r="E589" s="76">
        <v>0.3</v>
      </c>
      <c r="F589" s="8" t="s">
        <v>94</v>
      </c>
      <c r="H589" s="29"/>
    </row>
    <row r="590" spans="1:8" ht="15" customHeight="1" x14ac:dyDescent="0.25">
      <c r="A590" s="330"/>
      <c r="B590" s="344"/>
      <c r="C590" s="350"/>
      <c r="D590" s="72" t="s">
        <v>421</v>
      </c>
      <c r="E590" s="76">
        <v>0.25</v>
      </c>
      <c r="F590" s="8" t="s">
        <v>94</v>
      </c>
      <c r="H590" s="29"/>
    </row>
    <row r="591" spans="1:8" ht="15" customHeight="1" x14ac:dyDescent="0.25">
      <c r="A591" s="330"/>
      <c r="B591" s="344"/>
      <c r="C591" s="350"/>
      <c r="D591" s="72" t="s">
        <v>422</v>
      </c>
      <c r="E591" s="76">
        <v>0.15</v>
      </c>
      <c r="F591" s="8" t="s">
        <v>94</v>
      </c>
      <c r="H591" s="29"/>
    </row>
    <row r="592" spans="1:8" ht="15" customHeight="1" x14ac:dyDescent="0.25">
      <c r="A592" s="330"/>
      <c r="B592" s="344"/>
      <c r="C592" s="351"/>
      <c r="D592" s="73" t="s">
        <v>429</v>
      </c>
      <c r="E592" s="56">
        <f>IF((4*E588+3*E589+2*E590+E591)/4&gt;100%,0,(4*E588+3*E589+2*E590+E591)/4)</f>
        <v>0.73749999999999993</v>
      </c>
      <c r="H592" s="29"/>
    </row>
    <row r="593" spans="1:8" ht="15.75" customHeight="1" x14ac:dyDescent="0.25">
      <c r="A593" s="330"/>
      <c r="B593" s="344"/>
      <c r="C593" s="346" t="s">
        <v>430</v>
      </c>
      <c r="D593" s="72" t="s">
        <v>419</v>
      </c>
      <c r="E593" s="76">
        <v>0.4</v>
      </c>
      <c r="F593" s="8" t="s">
        <v>94</v>
      </c>
      <c r="H593" s="29"/>
    </row>
    <row r="594" spans="1:8" ht="15" customHeight="1" x14ac:dyDescent="0.25">
      <c r="A594" s="330"/>
      <c r="B594" s="344"/>
      <c r="C594" s="347"/>
      <c r="D594" s="72" t="s">
        <v>420</v>
      </c>
      <c r="E594" s="76">
        <v>0.3</v>
      </c>
      <c r="F594" s="8" t="s">
        <v>94</v>
      </c>
      <c r="H594" s="29"/>
    </row>
    <row r="595" spans="1:8" ht="15" customHeight="1" x14ac:dyDescent="0.25">
      <c r="A595" s="330"/>
      <c r="B595" s="344"/>
      <c r="C595" s="347"/>
      <c r="D595" s="72" t="s">
        <v>421</v>
      </c>
      <c r="E595" s="76">
        <v>0.25</v>
      </c>
      <c r="F595" s="8" t="s">
        <v>94</v>
      </c>
      <c r="H595" s="29"/>
    </row>
    <row r="596" spans="1:8" ht="15" customHeight="1" x14ac:dyDescent="0.25">
      <c r="A596" s="330"/>
      <c r="B596" s="344"/>
      <c r="C596" s="347"/>
      <c r="D596" s="72" t="s">
        <v>422</v>
      </c>
      <c r="E596" s="76">
        <v>0.05</v>
      </c>
      <c r="F596" s="8" t="s">
        <v>94</v>
      </c>
      <c r="H596" s="29"/>
    </row>
    <row r="597" spans="1:8" ht="15" customHeight="1" x14ac:dyDescent="0.25">
      <c r="A597" s="330"/>
      <c r="B597" s="344"/>
      <c r="C597" s="348"/>
      <c r="D597" s="73" t="s">
        <v>431</v>
      </c>
      <c r="E597" s="56">
        <f>IF((4*E593+3*E594+2*E595+E596)/4&gt;100%,0,(4*E593+3*E594+2*E595+E596)/4)</f>
        <v>0.76249999999999996</v>
      </c>
      <c r="H597" s="29"/>
    </row>
    <row r="598" spans="1:8" x14ac:dyDescent="0.25">
      <c r="A598" s="330"/>
      <c r="B598" s="344"/>
      <c r="C598" s="420" t="s">
        <v>432</v>
      </c>
      <c r="D598" s="421"/>
      <c r="E598" s="76">
        <f>(E577+E582+E587+E592+E597)/5</f>
        <v>0.59499999999999997</v>
      </c>
      <c r="H598" s="29"/>
    </row>
    <row r="599" spans="1:8" ht="14.45" hidden="1" customHeight="1" x14ac:dyDescent="0.25">
      <c r="A599" s="330"/>
      <c r="B599" s="344"/>
      <c r="C599" s="196" t="s">
        <v>185</v>
      </c>
      <c r="D599" s="197">
        <v>0.25</v>
      </c>
      <c r="E599" s="150"/>
      <c r="H599" s="29"/>
    </row>
    <row r="600" spans="1:8" ht="14.45" hidden="1" customHeight="1" x14ac:dyDescent="0.25">
      <c r="A600" s="330"/>
      <c r="B600" s="344"/>
      <c r="C600" s="196" t="s">
        <v>186</v>
      </c>
      <c r="D600" s="197">
        <v>0.75</v>
      </c>
      <c r="E600" s="150"/>
      <c r="H600" s="29"/>
    </row>
    <row r="601" spans="1:8" ht="15" customHeight="1" x14ac:dyDescent="0.25">
      <c r="A601" s="330"/>
      <c r="B601" s="344"/>
      <c r="C601" s="327" t="s">
        <v>103</v>
      </c>
      <c r="D601" s="328"/>
      <c r="E601" s="113">
        <f>IF(E598&gt;=D600,4,IF(E598&gt;=D599,4/(D600-D599)*(E598-D599),0))</f>
        <v>2.76</v>
      </c>
      <c r="H601" s="29"/>
    </row>
    <row r="602" spans="1:8" ht="34.35" customHeight="1" x14ac:dyDescent="0.25">
      <c r="A602" s="330"/>
      <c r="B602" s="344"/>
      <c r="C602" s="401" t="s">
        <v>433</v>
      </c>
      <c r="D602" s="370"/>
      <c r="E602" s="33">
        <v>4</v>
      </c>
      <c r="F602" s="8" t="str">
        <f>IF(OR(ISBLANK(E602),E602&gt;4),"Salah isi","judge")</f>
        <v>judge</v>
      </c>
      <c r="H602" s="29"/>
    </row>
    <row r="603" spans="1:8" ht="48" customHeight="1" x14ac:dyDescent="0.25">
      <c r="A603" s="330"/>
      <c r="B603" s="344"/>
      <c r="C603" s="30">
        <v>4</v>
      </c>
      <c r="D603" s="68" t="s">
        <v>434</v>
      </c>
      <c r="E603" s="31"/>
      <c r="F603" s="57"/>
      <c r="H603" s="29"/>
    </row>
    <row r="604" spans="1:8" ht="48" customHeight="1" x14ac:dyDescent="0.25">
      <c r="A604" s="330"/>
      <c r="B604" s="344"/>
      <c r="C604" s="30">
        <v>3</v>
      </c>
      <c r="D604" s="68" t="s">
        <v>435</v>
      </c>
      <c r="E604" s="31"/>
      <c r="F604" s="57"/>
      <c r="H604" s="29"/>
    </row>
    <row r="605" spans="1:8" ht="32.1" customHeight="1" x14ac:dyDescent="0.25">
      <c r="A605" s="330"/>
      <c r="B605" s="344"/>
      <c r="C605" s="30">
        <v>2</v>
      </c>
      <c r="D605" s="68" t="s">
        <v>436</v>
      </c>
      <c r="E605" s="31"/>
      <c r="F605" s="57"/>
      <c r="H605" s="29"/>
    </row>
    <row r="606" spans="1:8" ht="32.1" customHeight="1" x14ac:dyDescent="0.25">
      <c r="A606" s="330"/>
      <c r="B606" s="344"/>
      <c r="C606" s="30">
        <v>1</v>
      </c>
      <c r="D606" s="68" t="s">
        <v>437</v>
      </c>
      <c r="E606" s="31"/>
      <c r="F606" s="57"/>
      <c r="H606" s="29"/>
    </row>
    <row r="607" spans="1:8" ht="32.1" customHeight="1" x14ac:dyDescent="0.25">
      <c r="A607" s="330"/>
      <c r="B607" s="344"/>
      <c r="C607" s="30">
        <v>0</v>
      </c>
      <c r="D607" s="68" t="s">
        <v>438</v>
      </c>
      <c r="E607" s="32"/>
      <c r="F607" s="57"/>
      <c r="H607" s="29"/>
    </row>
    <row r="608" spans="1:8" x14ac:dyDescent="0.25">
      <c r="A608" s="330"/>
      <c r="B608" s="344"/>
      <c r="C608" s="327" t="s">
        <v>113</v>
      </c>
      <c r="D608" s="328"/>
      <c r="E608" s="113">
        <f>E602</f>
        <v>4</v>
      </c>
      <c r="H608" s="29"/>
    </row>
    <row r="609" spans="1:8" ht="15" customHeight="1" x14ac:dyDescent="0.25">
      <c r="A609" s="331"/>
      <c r="B609" s="345"/>
      <c r="C609" s="337" t="s">
        <v>74</v>
      </c>
      <c r="D609" s="375"/>
      <c r="E609" s="25">
        <f>IF(F602="Salah isi",0,(E601+2*E608)/3)</f>
        <v>3.5866666666666664</v>
      </c>
      <c r="H609" s="29"/>
    </row>
    <row r="610" spans="1:8" ht="15" customHeight="1" x14ac:dyDescent="0.25">
      <c r="A610" s="26"/>
      <c r="B610" s="26"/>
      <c r="C610" s="27"/>
      <c r="D610" s="64"/>
      <c r="E610" s="28"/>
      <c r="H610" s="29"/>
    </row>
    <row r="611" spans="1:8" ht="125.1" customHeight="1" x14ac:dyDescent="0.25">
      <c r="A611" s="329">
        <v>48</v>
      </c>
      <c r="B611" s="343" t="s">
        <v>439</v>
      </c>
      <c r="C611" s="335" t="s">
        <v>440</v>
      </c>
      <c r="D611" s="369"/>
      <c r="E611" s="21"/>
      <c r="F611" s="8" t="str">
        <f>IF(OR(ISBLANK(E611),E611&gt;4),"Salah isi","judge")</f>
        <v>Salah isi</v>
      </c>
      <c r="H611" s="210"/>
    </row>
    <row r="612" spans="1:8" ht="15.95" customHeight="1" x14ac:dyDescent="0.25">
      <c r="A612" s="330"/>
      <c r="B612" s="344"/>
      <c r="C612" s="30">
        <v>4</v>
      </c>
      <c r="D612" s="66" t="s">
        <v>441</v>
      </c>
      <c r="E612" s="31"/>
      <c r="H612" s="29"/>
    </row>
    <row r="613" spans="1:8" ht="32.1" customHeight="1" x14ac:dyDescent="0.25">
      <c r="A613" s="330"/>
      <c r="B613" s="344"/>
      <c r="C613" s="30">
        <v>3</v>
      </c>
      <c r="D613" s="66" t="s">
        <v>442</v>
      </c>
      <c r="E613" s="31"/>
      <c r="H613" s="29"/>
    </row>
    <row r="614" spans="1:8" ht="15.95" customHeight="1" x14ac:dyDescent="0.25">
      <c r="A614" s="330"/>
      <c r="B614" s="344"/>
      <c r="C614" s="30">
        <v>2</v>
      </c>
      <c r="D614" s="66" t="s">
        <v>443</v>
      </c>
      <c r="E614" s="31"/>
      <c r="H614" s="29"/>
    </row>
    <row r="615" spans="1:8" ht="32.1" customHeight="1" x14ac:dyDescent="0.25">
      <c r="A615" s="330"/>
      <c r="B615" s="344"/>
      <c r="C615" s="30">
        <v>1</v>
      </c>
      <c r="D615" s="66" t="s">
        <v>444</v>
      </c>
      <c r="E615" s="31"/>
      <c r="H615" s="29"/>
    </row>
    <row r="616" spans="1:8" ht="15.95" customHeight="1" x14ac:dyDescent="0.25">
      <c r="A616" s="330"/>
      <c r="B616" s="344"/>
      <c r="C616" s="30">
        <v>0</v>
      </c>
      <c r="D616" s="63" t="s">
        <v>445</v>
      </c>
      <c r="E616" s="32"/>
      <c r="H616" s="29"/>
    </row>
    <row r="617" spans="1:8" ht="15" customHeight="1" x14ac:dyDescent="0.25">
      <c r="A617" s="331"/>
      <c r="B617" s="345"/>
      <c r="C617" s="337" t="s">
        <v>34</v>
      </c>
      <c r="D617" s="375"/>
      <c r="E617" s="25">
        <f>IF(F611="Salah isi",0,E611)</f>
        <v>0</v>
      </c>
      <c r="H617" s="29"/>
    </row>
    <row r="618" spans="1:8" ht="15" customHeight="1" x14ac:dyDescent="0.25">
      <c r="A618" s="26"/>
      <c r="B618" s="26"/>
      <c r="C618" s="27"/>
      <c r="D618" s="64"/>
      <c r="E618" s="28"/>
      <c r="H618" s="29"/>
    </row>
    <row r="619" spans="1:8" ht="44.45" customHeight="1" x14ac:dyDescent="0.25">
      <c r="A619" s="329">
        <v>49</v>
      </c>
      <c r="B619" s="343" t="s">
        <v>446</v>
      </c>
      <c r="C619" s="352" t="s">
        <v>447</v>
      </c>
      <c r="D619" s="352"/>
      <c r="E619" s="46"/>
      <c r="H619" s="210"/>
    </row>
    <row r="620" spans="1:8" ht="34.5" customHeight="1" x14ac:dyDescent="0.25">
      <c r="A620" s="330"/>
      <c r="B620" s="344"/>
      <c r="C620" s="327" t="s">
        <v>448</v>
      </c>
      <c r="D620" s="328"/>
      <c r="E620" s="58">
        <v>6</v>
      </c>
      <c r="F620" s="8" t="s">
        <v>94</v>
      </c>
      <c r="G620" s="37"/>
      <c r="H620" s="29"/>
    </row>
    <row r="621" spans="1:8" x14ac:dyDescent="0.25">
      <c r="A621" s="330"/>
      <c r="B621" s="344"/>
      <c r="C621" s="327" t="s">
        <v>449</v>
      </c>
      <c r="D621" s="328"/>
      <c r="E621" s="58">
        <v>36</v>
      </c>
      <c r="F621" s="8" t="s">
        <v>94</v>
      </c>
      <c r="G621" s="37"/>
      <c r="H621" s="29"/>
    </row>
    <row r="622" spans="1:8" x14ac:dyDescent="0.25">
      <c r="A622" s="330"/>
      <c r="B622" s="344"/>
      <c r="C622" s="327" t="s">
        <v>450</v>
      </c>
      <c r="D622" s="328"/>
      <c r="E622" s="56">
        <f>IF(E621&gt;0,E620/E621,0)</f>
        <v>0.16666666666666666</v>
      </c>
      <c r="G622" s="37"/>
      <c r="H622" s="29"/>
    </row>
    <row r="623" spans="1:8" ht="14.45" hidden="1" customHeight="1" x14ac:dyDescent="0.25">
      <c r="A623" s="330"/>
      <c r="B623" s="344"/>
      <c r="C623" s="124" t="s">
        <v>152</v>
      </c>
      <c r="D623" s="155">
        <v>0.25</v>
      </c>
      <c r="E623" s="154"/>
      <c r="G623" s="43"/>
      <c r="H623" s="29"/>
    </row>
    <row r="624" spans="1:8" ht="15.95" customHeight="1" x14ac:dyDescent="0.25">
      <c r="A624" s="331"/>
      <c r="B624" s="345"/>
      <c r="C624" s="341" t="s">
        <v>34</v>
      </c>
      <c r="D624" s="342"/>
      <c r="E624" s="25">
        <f>IF(E622&gt;=D623,4,2+2/D623*E622)</f>
        <v>3.333333333333333</v>
      </c>
      <c r="H624" s="29"/>
    </row>
    <row r="625" spans="1:8" ht="15.95" customHeight="1" x14ac:dyDescent="0.25">
      <c r="C625" s="39"/>
      <c r="D625" s="70"/>
      <c r="H625" s="39"/>
    </row>
    <row r="626" spans="1:8" ht="45" hidden="1" customHeight="1" x14ac:dyDescent="0.25">
      <c r="A626" s="376"/>
      <c r="B626" s="360"/>
      <c r="C626" s="363"/>
      <c r="D626" s="363"/>
      <c r="E626" s="116"/>
      <c r="H626" s="210"/>
    </row>
    <row r="627" spans="1:8" ht="31.5" hidden="1" customHeight="1" x14ac:dyDescent="0.25">
      <c r="A627" s="377"/>
      <c r="B627" s="361"/>
      <c r="C627" s="367"/>
      <c r="D627" s="368"/>
      <c r="E627" s="117"/>
      <c r="G627" s="37"/>
      <c r="H627" s="29"/>
    </row>
    <row r="628" spans="1:8" ht="15" hidden="1" customHeight="1" x14ac:dyDescent="0.25">
      <c r="A628" s="377"/>
      <c r="B628" s="361"/>
      <c r="C628" s="367"/>
      <c r="D628" s="368"/>
      <c r="E628" s="117"/>
      <c r="G628" s="37"/>
      <c r="H628" s="29"/>
    </row>
    <row r="629" spans="1:8" ht="15" hidden="1" customHeight="1" x14ac:dyDescent="0.25">
      <c r="A629" s="377"/>
      <c r="B629" s="361"/>
      <c r="C629" s="367"/>
      <c r="D629" s="368"/>
      <c r="E629" s="190"/>
      <c r="G629" s="37"/>
      <c r="H629" s="29"/>
    </row>
    <row r="630" spans="1:8" ht="15" hidden="1" customHeight="1" x14ac:dyDescent="0.25">
      <c r="A630" s="377"/>
      <c r="B630" s="361"/>
      <c r="C630" s="124"/>
      <c r="D630" s="155"/>
      <c r="E630" s="154"/>
      <c r="G630" s="43"/>
      <c r="H630" s="29"/>
    </row>
    <row r="631" spans="1:8" ht="15" hidden="1" customHeight="1" x14ac:dyDescent="0.25">
      <c r="A631" s="378"/>
      <c r="B631" s="362"/>
      <c r="C631" s="379"/>
      <c r="D631" s="380"/>
      <c r="E631" s="118"/>
      <c r="H631" s="29"/>
    </row>
    <row r="632" spans="1:8" ht="15" hidden="1" customHeight="1" x14ac:dyDescent="0.25">
      <c r="C632" s="39"/>
      <c r="D632" s="70"/>
      <c r="H632" s="39"/>
    </row>
    <row r="633" spans="1:8" ht="126.75" customHeight="1" x14ac:dyDescent="0.25">
      <c r="A633" s="329">
        <v>50</v>
      </c>
      <c r="B633" s="343" t="s">
        <v>451</v>
      </c>
      <c r="C633" s="335" t="s">
        <v>452</v>
      </c>
      <c r="D633" s="336"/>
      <c r="E633" s="21"/>
      <c r="F633" s="8" t="str">
        <f>IF(OR(ISBLANK(E633),E633&gt;4),"Salah isi","judge")</f>
        <v>Salah isi</v>
      </c>
      <c r="H633" s="210"/>
    </row>
    <row r="634" spans="1:8" ht="15.95" customHeight="1" x14ac:dyDescent="0.25">
      <c r="A634" s="330"/>
      <c r="B634" s="344"/>
      <c r="C634" s="30">
        <v>4</v>
      </c>
      <c r="D634" s="62" t="s">
        <v>453</v>
      </c>
      <c r="E634" s="31"/>
      <c r="H634" s="29"/>
    </row>
    <row r="635" spans="1:8" ht="15.95" customHeight="1" x14ac:dyDescent="0.25">
      <c r="A635" s="330"/>
      <c r="B635" s="344"/>
      <c r="C635" s="30">
        <v>3</v>
      </c>
      <c r="D635" s="62" t="s">
        <v>454</v>
      </c>
      <c r="E635" s="31"/>
      <c r="H635" s="29"/>
    </row>
    <row r="636" spans="1:8" ht="15.95" customHeight="1" x14ac:dyDescent="0.25">
      <c r="A636" s="330"/>
      <c r="B636" s="344"/>
      <c r="C636" s="30">
        <v>2</v>
      </c>
      <c r="D636" s="62" t="s">
        <v>455</v>
      </c>
      <c r="E636" s="31"/>
      <c r="H636" s="29"/>
    </row>
    <row r="637" spans="1:8" ht="32.1" customHeight="1" x14ac:dyDescent="0.25">
      <c r="A637" s="330"/>
      <c r="B637" s="344"/>
      <c r="C637" s="30">
        <v>1</v>
      </c>
      <c r="D637" s="62" t="s">
        <v>456</v>
      </c>
      <c r="E637" s="31"/>
      <c r="H637" s="29"/>
    </row>
    <row r="638" spans="1:8" ht="15.95" customHeight="1" x14ac:dyDescent="0.25">
      <c r="A638" s="330"/>
      <c r="B638" s="344"/>
      <c r="C638" s="30">
        <v>0</v>
      </c>
      <c r="D638" s="62" t="s">
        <v>457</v>
      </c>
      <c r="E638" s="32"/>
      <c r="H638" s="29"/>
    </row>
    <row r="639" spans="1:8" ht="15" customHeight="1" x14ac:dyDescent="0.25">
      <c r="A639" s="331"/>
      <c r="B639" s="345"/>
      <c r="C639" s="337" t="s">
        <v>34</v>
      </c>
      <c r="D639" s="375"/>
      <c r="E639" s="25">
        <f>IF(F633="Salah isi",0,E633)</f>
        <v>0</v>
      </c>
      <c r="H639" s="29"/>
    </row>
    <row r="640" spans="1:8" ht="15" customHeight="1" x14ac:dyDescent="0.25">
      <c r="A640" s="26"/>
      <c r="B640" s="26"/>
      <c r="C640" s="27"/>
      <c r="D640" s="64"/>
      <c r="E640" s="28"/>
      <c r="H640" s="29"/>
    </row>
    <row r="641" spans="1:8" ht="50.1" customHeight="1" x14ac:dyDescent="0.25">
      <c r="A641" s="329">
        <v>51</v>
      </c>
      <c r="B641" s="343" t="s">
        <v>458</v>
      </c>
      <c r="C641" s="352" t="s">
        <v>459</v>
      </c>
      <c r="D641" s="352"/>
      <c r="E641" s="46"/>
      <c r="H641" s="210"/>
    </row>
    <row r="642" spans="1:8" ht="35.450000000000003" customHeight="1" x14ac:dyDescent="0.25">
      <c r="A642" s="330"/>
      <c r="B642" s="344"/>
      <c r="C642" s="327" t="s">
        <v>460</v>
      </c>
      <c r="D642" s="328"/>
      <c r="E642" s="58">
        <v>6</v>
      </c>
      <c r="F642" s="8" t="s">
        <v>94</v>
      </c>
      <c r="G642" s="37"/>
      <c r="H642" s="29"/>
    </row>
    <row r="643" spans="1:8" ht="15" customHeight="1" x14ac:dyDescent="0.25">
      <c r="A643" s="330"/>
      <c r="B643" s="344"/>
      <c r="C643" s="327" t="s">
        <v>461</v>
      </c>
      <c r="D643" s="328"/>
      <c r="E643" s="58">
        <v>36</v>
      </c>
      <c r="F643" s="8" t="s">
        <v>94</v>
      </c>
      <c r="G643" s="37"/>
      <c r="H643" s="29"/>
    </row>
    <row r="644" spans="1:8" ht="15" customHeight="1" x14ac:dyDescent="0.25">
      <c r="A644" s="330"/>
      <c r="B644" s="344"/>
      <c r="C644" s="327" t="s">
        <v>462</v>
      </c>
      <c r="D644" s="328"/>
      <c r="E644" s="56">
        <f>IF(E643&gt;0,E642/E643,0)</f>
        <v>0.16666666666666666</v>
      </c>
      <c r="G644" s="43"/>
      <c r="H644" s="29"/>
    </row>
    <row r="645" spans="1:8" ht="14.45" hidden="1" customHeight="1" x14ac:dyDescent="0.25">
      <c r="A645" s="330"/>
      <c r="B645" s="344"/>
      <c r="C645" s="124" t="s">
        <v>152</v>
      </c>
      <c r="D645" s="155">
        <v>0.25</v>
      </c>
      <c r="E645" s="154"/>
      <c r="G645" s="43"/>
      <c r="H645" s="29"/>
    </row>
    <row r="646" spans="1:8" ht="15.95" customHeight="1" x14ac:dyDescent="0.25">
      <c r="A646" s="331"/>
      <c r="B646" s="345"/>
      <c r="C646" s="341" t="s">
        <v>34</v>
      </c>
      <c r="D646" s="342"/>
      <c r="E646" s="25">
        <f>IF(E644&gt;=D645,4,2+2/D645*E644)</f>
        <v>3.333333333333333</v>
      </c>
      <c r="H646" s="29"/>
    </row>
    <row r="647" spans="1:8" ht="15.95" customHeight="1" x14ac:dyDescent="0.25">
      <c r="C647" s="39"/>
      <c r="D647" s="70"/>
      <c r="H647" s="39"/>
    </row>
    <row r="648" spans="1:8" ht="95.1" customHeight="1" x14ac:dyDescent="0.25">
      <c r="A648" s="329">
        <v>52</v>
      </c>
      <c r="B648" s="343" t="s">
        <v>463</v>
      </c>
      <c r="C648" s="335" t="s">
        <v>464</v>
      </c>
      <c r="D648" s="336"/>
      <c r="E648" s="21"/>
      <c r="F648" s="8" t="str">
        <f>IF(OR(ISBLANK(E648),E648&gt;4),"Salah isi","judge")</f>
        <v>Salah isi</v>
      </c>
      <c r="H648" s="210"/>
    </row>
    <row r="649" spans="1:8" ht="15.95" customHeight="1" x14ac:dyDescent="0.25">
      <c r="A649" s="330"/>
      <c r="B649" s="344"/>
      <c r="C649" s="22">
        <v>4</v>
      </c>
      <c r="D649" s="62" t="s">
        <v>465</v>
      </c>
      <c r="E649" s="23"/>
      <c r="H649" s="29"/>
    </row>
    <row r="650" spans="1:8" ht="15.95" customHeight="1" x14ac:dyDescent="0.25">
      <c r="A650" s="330"/>
      <c r="B650" s="344"/>
      <c r="C650" s="22">
        <v>3</v>
      </c>
      <c r="D650" s="62" t="s">
        <v>466</v>
      </c>
      <c r="E650" s="23"/>
      <c r="H650" s="29"/>
    </row>
    <row r="651" spans="1:8" ht="15.95" customHeight="1" x14ac:dyDescent="0.25">
      <c r="A651" s="330"/>
      <c r="B651" s="344"/>
      <c r="C651" s="22">
        <v>2</v>
      </c>
      <c r="D651" s="62" t="s">
        <v>467</v>
      </c>
      <c r="E651" s="23"/>
      <c r="H651" s="29"/>
    </row>
    <row r="652" spans="1:8" ht="15.95" customHeight="1" x14ac:dyDescent="0.25">
      <c r="A652" s="330"/>
      <c r="B652" s="344"/>
      <c r="C652" s="22">
        <v>1</v>
      </c>
      <c r="D652" s="62" t="s">
        <v>468</v>
      </c>
      <c r="E652" s="23"/>
      <c r="H652" s="29"/>
    </row>
    <row r="653" spans="1:8" ht="15.95" customHeight="1" x14ac:dyDescent="0.25">
      <c r="A653" s="330"/>
      <c r="B653" s="344"/>
      <c r="C653" s="22">
        <v>0</v>
      </c>
      <c r="D653" s="62" t="s">
        <v>469</v>
      </c>
      <c r="E653" s="24"/>
      <c r="H653" s="29"/>
    </row>
    <row r="654" spans="1:8" ht="15" customHeight="1" x14ac:dyDescent="0.25">
      <c r="A654" s="331"/>
      <c r="B654" s="345"/>
      <c r="C654" s="337" t="s">
        <v>34</v>
      </c>
      <c r="D654" s="338"/>
      <c r="E654" s="25">
        <f>IF(F648="Salah isi",0,E648)</f>
        <v>0</v>
      </c>
      <c r="H654" s="29"/>
    </row>
    <row r="655" spans="1:8" ht="15" customHeight="1" x14ac:dyDescent="0.25">
      <c r="A655" s="26"/>
      <c r="B655" s="26"/>
      <c r="C655" s="27"/>
      <c r="D655" s="64"/>
      <c r="E655" s="28"/>
      <c r="H655" s="29"/>
    </row>
    <row r="656" spans="1:8" ht="41.45" customHeight="1" x14ac:dyDescent="0.25">
      <c r="A656" s="329">
        <v>53</v>
      </c>
      <c r="B656" s="343"/>
      <c r="C656" s="335" t="s">
        <v>470</v>
      </c>
      <c r="D656" s="336"/>
      <c r="E656" s="46"/>
      <c r="H656" s="210"/>
    </row>
    <row r="657" spans="1:8" ht="14.45" customHeight="1" x14ac:dyDescent="0.25">
      <c r="A657" s="330"/>
      <c r="B657" s="344"/>
      <c r="C657" s="339" t="s">
        <v>471</v>
      </c>
      <c r="D657" s="340"/>
      <c r="E657" s="49">
        <v>12</v>
      </c>
      <c r="F657" s="8" t="s">
        <v>94</v>
      </c>
      <c r="H657" s="29"/>
    </row>
    <row r="658" spans="1:8" ht="14.25" customHeight="1" x14ac:dyDescent="0.25">
      <c r="A658" s="330"/>
      <c r="B658" s="344"/>
      <c r="C658" s="339" t="s">
        <v>472</v>
      </c>
      <c r="D658" s="340"/>
      <c r="E658" s="49">
        <v>14</v>
      </c>
      <c r="F658" s="8" t="s">
        <v>94</v>
      </c>
      <c r="H658" s="29"/>
    </row>
    <row r="659" spans="1:8" ht="14.45" customHeight="1" x14ac:dyDescent="0.25">
      <c r="A659" s="330"/>
      <c r="B659" s="344"/>
      <c r="C659" s="339" t="s">
        <v>473</v>
      </c>
      <c r="D659" s="340"/>
      <c r="E659" s="49">
        <v>68</v>
      </c>
      <c r="F659" s="8" t="s">
        <v>94</v>
      </c>
      <c r="H659" s="29"/>
    </row>
    <row r="660" spans="1:8" ht="14.45" customHeight="1" x14ac:dyDescent="0.25">
      <c r="A660" s="330"/>
      <c r="B660" s="344"/>
      <c r="C660" s="339" t="s">
        <v>474</v>
      </c>
      <c r="D660" s="340"/>
      <c r="E660" s="75" t="s">
        <v>475</v>
      </c>
      <c r="F660" s="8" t="s">
        <v>94</v>
      </c>
      <c r="H660" s="29"/>
    </row>
    <row r="661" spans="1:8" ht="14.45" customHeight="1" x14ac:dyDescent="0.25">
      <c r="A661" s="330"/>
      <c r="B661" s="344"/>
      <c r="C661" s="339" t="s">
        <v>476</v>
      </c>
      <c r="D661" s="340"/>
      <c r="E661" s="75" t="s">
        <v>477</v>
      </c>
      <c r="F661" s="8" t="s">
        <v>94</v>
      </c>
      <c r="H661" s="29"/>
    </row>
    <row r="662" spans="1:8" ht="14.45" customHeight="1" x14ac:dyDescent="0.25">
      <c r="A662" s="330"/>
      <c r="B662" s="344"/>
      <c r="C662" s="339" t="s">
        <v>478</v>
      </c>
      <c r="D662" s="340"/>
      <c r="E662" s="75" t="s">
        <v>479</v>
      </c>
      <c r="F662" s="8" t="s">
        <v>94</v>
      </c>
      <c r="H662" s="29"/>
    </row>
    <row r="663" spans="1:8" ht="14.45" customHeight="1" x14ac:dyDescent="0.25">
      <c r="A663" s="330"/>
      <c r="B663" s="344"/>
      <c r="C663" s="166" t="s">
        <v>480</v>
      </c>
      <c r="D663" s="164"/>
      <c r="E663" s="165">
        <f>IF(SUM(E657:E659)&gt;0,(E657*E660+E658*E661+E659*E662)/SUM(E657:E659),0)</f>
        <v>3.4712765957446812</v>
      </c>
      <c r="H663" s="29"/>
    </row>
    <row r="664" spans="1:8" ht="14.45" hidden="1" customHeight="1" x14ac:dyDescent="0.25">
      <c r="A664" s="330"/>
      <c r="B664" s="344"/>
      <c r="C664" s="167" t="s">
        <v>185</v>
      </c>
      <c r="D664" s="169">
        <v>2</v>
      </c>
      <c r="E664" s="168"/>
      <c r="H664" s="29"/>
    </row>
    <row r="665" spans="1:8" ht="14.45" hidden="1" customHeight="1" x14ac:dyDescent="0.25">
      <c r="A665" s="330"/>
      <c r="B665" s="344"/>
      <c r="C665" s="167" t="s">
        <v>186</v>
      </c>
      <c r="D665" s="169">
        <v>3.25</v>
      </c>
      <c r="E665" s="168"/>
      <c r="H665" s="29"/>
    </row>
    <row r="666" spans="1:8" ht="15" customHeight="1" x14ac:dyDescent="0.25">
      <c r="A666" s="331"/>
      <c r="B666" s="345"/>
      <c r="C666" s="337" t="s">
        <v>34</v>
      </c>
      <c r="D666" s="338"/>
      <c r="E666" s="25">
        <f>IF(E663&gt;=D665,4,IF(E663&gt;=D664,2/(D665-D664)*(E663-D664)+2,0))</f>
        <v>4</v>
      </c>
      <c r="H666" s="29"/>
    </row>
    <row r="667" spans="1:8" ht="15" customHeight="1" x14ac:dyDescent="0.25">
      <c r="A667" s="48"/>
      <c r="B667" s="48"/>
      <c r="C667" s="39"/>
      <c r="D667" s="70"/>
      <c r="H667" s="40"/>
    </row>
    <row r="668" spans="1:8" ht="47.25" customHeight="1" x14ac:dyDescent="0.25">
      <c r="A668" s="329">
        <v>54</v>
      </c>
      <c r="B668" s="343"/>
      <c r="C668" s="352" t="s">
        <v>481</v>
      </c>
      <c r="D668" s="352"/>
      <c r="E668" s="46"/>
      <c r="H668" s="210"/>
    </row>
    <row r="669" spans="1:8" x14ac:dyDescent="0.25">
      <c r="A669" s="330"/>
      <c r="B669" s="344"/>
      <c r="C669" s="327" t="s">
        <v>482</v>
      </c>
      <c r="D669" s="328"/>
      <c r="E669" s="58">
        <v>0</v>
      </c>
      <c r="F669" s="8" t="s">
        <v>94</v>
      </c>
      <c r="G669" s="37"/>
      <c r="H669" s="29"/>
    </row>
    <row r="670" spans="1:8" x14ac:dyDescent="0.25">
      <c r="A670" s="330"/>
      <c r="B670" s="344"/>
      <c r="C670" s="327" t="s">
        <v>483</v>
      </c>
      <c r="D670" s="328"/>
      <c r="E670" s="58">
        <v>0</v>
      </c>
      <c r="F670" s="8" t="s">
        <v>94</v>
      </c>
      <c r="G670" s="37"/>
      <c r="H670" s="29"/>
    </row>
    <row r="671" spans="1:8" x14ac:dyDescent="0.25">
      <c r="A671" s="330"/>
      <c r="B671" s="344"/>
      <c r="C671" s="327" t="s">
        <v>484</v>
      </c>
      <c r="D671" s="328"/>
      <c r="E671" s="58">
        <v>0</v>
      </c>
      <c r="F671" s="8" t="s">
        <v>94</v>
      </c>
      <c r="G671" s="37"/>
      <c r="H671" s="29"/>
    </row>
    <row r="672" spans="1:8" ht="15.75" customHeight="1" x14ac:dyDescent="0.25">
      <c r="A672" s="330"/>
      <c r="B672" s="344"/>
      <c r="C672" s="327" t="s">
        <v>201</v>
      </c>
      <c r="D672" s="328"/>
      <c r="E672" s="58">
        <v>218</v>
      </c>
      <c r="F672" s="8" t="s">
        <v>94</v>
      </c>
      <c r="G672" s="37"/>
      <c r="H672" s="29"/>
    </row>
    <row r="673" spans="1:8" x14ac:dyDescent="0.25">
      <c r="A673" s="330"/>
      <c r="B673" s="344"/>
      <c r="C673" s="327" t="s">
        <v>485</v>
      </c>
      <c r="D673" s="328"/>
      <c r="E673" s="54">
        <f>IF(E672&gt;0,E669/E672,0)</f>
        <v>0</v>
      </c>
      <c r="G673" s="41"/>
      <c r="H673" s="29"/>
    </row>
    <row r="674" spans="1:8" ht="15.75" customHeight="1" x14ac:dyDescent="0.25">
      <c r="A674" s="330"/>
      <c r="B674" s="344"/>
      <c r="C674" s="327" t="s">
        <v>486</v>
      </c>
      <c r="D674" s="328"/>
      <c r="E674" s="54">
        <f>IF(E672&gt;0,E670/E672,0)</f>
        <v>0</v>
      </c>
      <c r="G674" s="41"/>
      <c r="H674" s="29"/>
    </row>
    <row r="675" spans="1:8" ht="15.75" customHeight="1" x14ac:dyDescent="0.25">
      <c r="A675" s="330"/>
      <c r="B675" s="344"/>
      <c r="C675" s="327" t="s">
        <v>487</v>
      </c>
      <c r="D675" s="328"/>
      <c r="E675" s="54">
        <f>IF(E672&gt;0,E671/E672,0)</f>
        <v>0</v>
      </c>
      <c r="G675" s="41"/>
      <c r="H675" s="29"/>
    </row>
    <row r="676" spans="1:8" ht="15.75" hidden="1" customHeight="1" x14ac:dyDescent="0.25">
      <c r="A676" s="330"/>
      <c r="B676" s="344"/>
      <c r="C676" s="144" t="s">
        <v>99</v>
      </c>
      <c r="D676" s="123">
        <v>1E-3</v>
      </c>
      <c r="E676" s="122"/>
      <c r="G676" s="41"/>
      <c r="H676" s="29"/>
    </row>
    <row r="677" spans="1:8" ht="15.75" hidden="1" customHeight="1" x14ac:dyDescent="0.25">
      <c r="A677" s="330"/>
      <c r="B677" s="344"/>
      <c r="C677" s="144" t="s">
        <v>100</v>
      </c>
      <c r="D677" s="123">
        <v>0.01</v>
      </c>
      <c r="E677" s="122"/>
      <c r="G677" s="41"/>
      <c r="H677" s="29"/>
    </row>
    <row r="678" spans="1:8" ht="15.75" hidden="1" customHeight="1" x14ac:dyDescent="0.25">
      <c r="A678" s="330"/>
      <c r="B678" s="344"/>
      <c r="C678" s="144" t="s">
        <v>101</v>
      </c>
      <c r="D678" s="123">
        <v>0.02</v>
      </c>
      <c r="E678" s="122"/>
      <c r="G678" s="41"/>
      <c r="H678" s="29"/>
    </row>
    <row r="679" spans="1:8" ht="15.75" hidden="1" customHeight="1" x14ac:dyDescent="0.25">
      <c r="A679" s="330"/>
      <c r="B679" s="344"/>
      <c r="C679" s="124"/>
      <c r="D679" s="125" t="s">
        <v>232</v>
      </c>
      <c r="E679" s="126" t="str">
        <f>IF(E673&gt;=D676,"YES","NO")</f>
        <v>NO</v>
      </c>
      <c r="G679" s="41"/>
      <c r="H679" s="29"/>
    </row>
    <row r="680" spans="1:8" ht="15.75" hidden="1" customHeight="1" x14ac:dyDescent="0.25">
      <c r="A680" s="330"/>
      <c r="B680" s="344"/>
      <c r="C680" s="124"/>
      <c r="D680" s="125" t="s">
        <v>233</v>
      </c>
      <c r="E680" s="126" t="str">
        <f>IF(AND(E673&lt;D676,E674&gt;=D677),"YES","NO")</f>
        <v>NO</v>
      </c>
      <c r="G680" s="41"/>
      <c r="H680" s="29"/>
    </row>
    <row r="681" spans="1:8" ht="15.75" hidden="1" customHeight="1" x14ac:dyDescent="0.25">
      <c r="A681" s="330"/>
      <c r="B681" s="344"/>
      <c r="C681" s="124"/>
      <c r="D681" s="125" t="s">
        <v>234</v>
      </c>
      <c r="E681" s="126" t="str">
        <f>IF(OR(AND(E673&gt;0,E673&lt;D676,E674=0),AND(E674&gt;0,E674&lt;D677,E673=0),AND(E673&gt;0,E673&lt;D676,E674&gt;0,E674&lt;D677)),"YES","NO")</f>
        <v>NO</v>
      </c>
      <c r="G681" s="41"/>
      <c r="H681" s="29"/>
    </row>
    <row r="682" spans="1:8" ht="15.75" hidden="1" customHeight="1" x14ac:dyDescent="0.25">
      <c r="A682" s="330"/>
      <c r="B682" s="344"/>
      <c r="C682" s="124"/>
      <c r="D682" s="125" t="s">
        <v>488</v>
      </c>
      <c r="E682" s="126" t="str">
        <f>IF(AND(E673=0,E674=0,E675&gt;=D678),"YES","NO")</f>
        <v>NO</v>
      </c>
      <c r="G682" s="41"/>
      <c r="H682" s="29"/>
    </row>
    <row r="683" spans="1:8" ht="15.75" hidden="1" customHeight="1" x14ac:dyDescent="0.25">
      <c r="A683" s="330"/>
      <c r="B683" s="344"/>
      <c r="C683" s="124"/>
      <c r="D683" s="125" t="s">
        <v>489</v>
      </c>
      <c r="E683" s="126" t="str">
        <f>IF(AND(E673=0,E674=0,E675&lt;D678),"YES","NO")</f>
        <v>YES</v>
      </c>
      <c r="G683" s="41"/>
      <c r="H683" s="29"/>
    </row>
    <row r="684" spans="1:8" ht="15" customHeight="1" x14ac:dyDescent="0.25">
      <c r="A684" s="331"/>
      <c r="B684" s="345"/>
      <c r="C684" s="341" t="s">
        <v>34</v>
      </c>
      <c r="D684" s="342"/>
      <c r="E684" s="25">
        <f>IF(E679="YES",4,IF(E680="YES",3+E673/D676,IF(E681="YES",2+2*E673/D676+E674/D677-(E673*E674)/(D676*D677),IF(E682="YES",2,2*E675/D678))))</f>
        <v>0</v>
      </c>
      <c r="G684" s="38"/>
      <c r="H684" s="29"/>
    </row>
    <row r="685" spans="1:8" ht="15.95" customHeight="1" x14ac:dyDescent="0.25">
      <c r="C685" s="39"/>
      <c r="D685" s="70"/>
      <c r="H685" s="40"/>
    </row>
    <row r="686" spans="1:8" ht="47.25" customHeight="1" x14ac:dyDescent="0.25">
      <c r="A686" s="329">
        <v>55</v>
      </c>
      <c r="B686" s="343"/>
      <c r="C686" s="352" t="s">
        <v>490</v>
      </c>
      <c r="D686" s="352"/>
      <c r="E686" s="46"/>
      <c r="H686" s="210"/>
    </row>
    <row r="687" spans="1:8" ht="15" customHeight="1" x14ac:dyDescent="0.25">
      <c r="A687" s="330"/>
      <c r="B687" s="344"/>
      <c r="C687" s="327" t="s">
        <v>491</v>
      </c>
      <c r="D687" s="328"/>
      <c r="E687" s="58">
        <v>0</v>
      </c>
      <c r="F687" s="8" t="s">
        <v>94</v>
      </c>
      <c r="G687" s="37"/>
      <c r="H687" s="29"/>
    </row>
    <row r="688" spans="1:8" ht="15" customHeight="1" x14ac:dyDescent="0.25">
      <c r="A688" s="330"/>
      <c r="B688" s="344"/>
      <c r="C688" s="327" t="s">
        <v>492</v>
      </c>
      <c r="D688" s="328"/>
      <c r="E688" s="58">
        <v>0</v>
      </c>
      <c r="F688" s="8" t="s">
        <v>94</v>
      </c>
      <c r="G688" s="37"/>
      <c r="H688" s="29"/>
    </row>
    <row r="689" spans="1:8" ht="15" customHeight="1" x14ac:dyDescent="0.25">
      <c r="A689" s="330"/>
      <c r="B689" s="344"/>
      <c r="C689" s="327" t="s">
        <v>493</v>
      </c>
      <c r="D689" s="328"/>
      <c r="E689" s="58">
        <v>3</v>
      </c>
      <c r="F689" s="8" t="s">
        <v>94</v>
      </c>
      <c r="G689" s="37"/>
      <c r="H689" s="29"/>
    </row>
    <row r="690" spans="1:8" ht="15.75" customHeight="1" x14ac:dyDescent="0.25">
      <c r="A690" s="330"/>
      <c r="B690" s="344"/>
      <c r="C690" s="327" t="s">
        <v>201</v>
      </c>
      <c r="D690" s="328"/>
      <c r="E690" s="58">
        <v>218</v>
      </c>
      <c r="F690" s="8" t="s">
        <v>94</v>
      </c>
      <c r="G690" s="37"/>
      <c r="H690" s="29"/>
    </row>
    <row r="691" spans="1:8" ht="15" customHeight="1" x14ac:dyDescent="0.25">
      <c r="A691" s="330"/>
      <c r="B691" s="344"/>
      <c r="C691" s="327" t="s">
        <v>485</v>
      </c>
      <c r="D691" s="328"/>
      <c r="E691" s="54">
        <f>IF(E690&gt;0,E687/E690,0)</f>
        <v>0</v>
      </c>
      <c r="G691" s="41"/>
      <c r="H691" s="29"/>
    </row>
    <row r="692" spans="1:8" ht="15.75" customHeight="1" x14ac:dyDescent="0.25">
      <c r="A692" s="330"/>
      <c r="B692" s="344"/>
      <c r="C692" s="327" t="s">
        <v>486</v>
      </c>
      <c r="D692" s="328"/>
      <c r="E692" s="54">
        <f>IF(E690&gt;0,E688/E690,0)</f>
        <v>0</v>
      </c>
      <c r="G692" s="41"/>
      <c r="H692" s="29"/>
    </row>
    <row r="693" spans="1:8" ht="15.75" customHeight="1" x14ac:dyDescent="0.25">
      <c r="A693" s="330"/>
      <c r="B693" s="344"/>
      <c r="C693" s="327" t="s">
        <v>487</v>
      </c>
      <c r="D693" s="328"/>
      <c r="E693" s="54">
        <f>IF(E690&gt;0,E689/E690,0)</f>
        <v>1.3761467889908258E-2</v>
      </c>
      <c r="G693" s="41"/>
      <c r="H693" s="29"/>
    </row>
    <row r="694" spans="1:8" ht="15.75" hidden="1" customHeight="1" x14ac:dyDescent="0.25">
      <c r="A694" s="330"/>
      <c r="B694" s="344"/>
      <c r="C694" s="144" t="s">
        <v>99</v>
      </c>
      <c r="D694" s="123">
        <v>2E-3</v>
      </c>
      <c r="E694" s="122"/>
      <c r="G694" s="41"/>
      <c r="H694" s="29"/>
    </row>
    <row r="695" spans="1:8" ht="15.75" hidden="1" customHeight="1" x14ac:dyDescent="0.25">
      <c r="A695" s="330"/>
      <c r="B695" s="344"/>
      <c r="C695" s="144" t="s">
        <v>100</v>
      </c>
      <c r="D695" s="123">
        <v>0.02</v>
      </c>
      <c r="E695" s="122"/>
      <c r="G695" s="41"/>
      <c r="H695" s="29"/>
    </row>
    <row r="696" spans="1:8" ht="15.75" hidden="1" customHeight="1" x14ac:dyDescent="0.25">
      <c r="A696" s="330"/>
      <c r="B696" s="344"/>
      <c r="C696" s="144" t="s">
        <v>101</v>
      </c>
      <c r="D696" s="123">
        <v>0.04</v>
      </c>
      <c r="E696" s="122"/>
      <c r="G696" s="41"/>
      <c r="H696" s="29"/>
    </row>
    <row r="697" spans="1:8" ht="15.75" hidden="1" customHeight="1" x14ac:dyDescent="0.25">
      <c r="A697" s="330"/>
      <c r="B697" s="344"/>
      <c r="C697" s="124"/>
      <c r="D697" s="125" t="s">
        <v>232</v>
      </c>
      <c r="E697" s="126" t="str">
        <f>IF(E691&gt;=D694,"YES","NO")</f>
        <v>NO</v>
      </c>
      <c r="G697" s="41"/>
      <c r="H697" s="29"/>
    </row>
    <row r="698" spans="1:8" ht="15.75" hidden="1" customHeight="1" x14ac:dyDescent="0.25">
      <c r="A698" s="330"/>
      <c r="B698" s="344"/>
      <c r="C698" s="124"/>
      <c r="D698" s="125" t="s">
        <v>233</v>
      </c>
      <c r="E698" s="126" t="str">
        <f>IF(AND(E691&lt;D694,E692&gt;=D695),"YES","NO")</f>
        <v>NO</v>
      </c>
      <c r="G698" s="41"/>
      <c r="H698" s="29"/>
    </row>
    <row r="699" spans="1:8" ht="15.75" hidden="1" customHeight="1" x14ac:dyDescent="0.25">
      <c r="A699" s="330"/>
      <c r="B699" s="344"/>
      <c r="C699" s="124"/>
      <c r="D699" s="125" t="s">
        <v>234</v>
      </c>
      <c r="E699" s="126" t="str">
        <f>IF(OR(AND(E691&gt;0,E691&lt;D694,E692=0),AND(E692&gt;0,E692&lt;D695,E691=0),AND(E691&gt;0,E691&lt;D694,E692&gt;0,E692&lt;D695)),"YES","NO")</f>
        <v>NO</v>
      </c>
      <c r="G699" s="41"/>
      <c r="H699" s="29"/>
    </row>
    <row r="700" spans="1:8" ht="15.75" hidden="1" customHeight="1" x14ac:dyDescent="0.25">
      <c r="A700" s="330"/>
      <c r="B700" s="344"/>
      <c r="C700" s="124"/>
      <c r="D700" s="125" t="s">
        <v>488</v>
      </c>
      <c r="E700" s="126" t="str">
        <f>IF(AND(E691=0,E692=0,E693&gt;=D696),"YES","NO")</f>
        <v>NO</v>
      </c>
      <c r="G700" s="41"/>
      <c r="H700" s="29"/>
    </row>
    <row r="701" spans="1:8" ht="15.75" hidden="1" customHeight="1" x14ac:dyDescent="0.25">
      <c r="A701" s="330"/>
      <c r="B701" s="344"/>
      <c r="C701" s="124"/>
      <c r="D701" s="125" t="s">
        <v>489</v>
      </c>
      <c r="E701" s="126" t="str">
        <f>IF(AND(E691=0,E692=0,E693&lt;D696),"YES","NO")</f>
        <v>YES</v>
      </c>
      <c r="G701" s="41"/>
      <c r="H701" s="29"/>
    </row>
    <row r="702" spans="1:8" ht="15" customHeight="1" x14ac:dyDescent="0.25">
      <c r="A702" s="331"/>
      <c r="B702" s="345"/>
      <c r="C702" s="341" t="s">
        <v>34</v>
      </c>
      <c r="D702" s="342"/>
      <c r="E702" s="25">
        <f>IF(E697="YES",4,IF(E698="YES",3+E691/D694,IF(E699="YES",2+2*E691/D694+E692/D695-(E691*E692)/(D694*D695),IF(E700="YES",2,2*E693/D696))))</f>
        <v>0.68807339449541283</v>
      </c>
      <c r="G702" s="38"/>
      <c r="H702" s="29"/>
    </row>
    <row r="703" spans="1:8" ht="15.95" customHeight="1" x14ac:dyDescent="0.25">
      <c r="C703" s="39"/>
      <c r="D703" s="70"/>
      <c r="H703" s="40"/>
    </row>
    <row r="704" spans="1:8" ht="40.5" customHeight="1" x14ac:dyDescent="0.25">
      <c r="A704" s="329">
        <v>56</v>
      </c>
      <c r="B704" s="343"/>
      <c r="C704" s="335" t="s">
        <v>494</v>
      </c>
      <c r="D704" s="336"/>
      <c r="E704" s="36"/>
      <c r="H704" s="210"/>
    </row>
    <row r="705" spans="1:8" ht="15" customHeight="1" x14ac:dyDescent="0.25">
      <c r="A705" s="330"/>
      <c r="B705" s="344"/>
      <c r="C705" s="339" t="s">
        <v>495</v>
      </c>
      <c r="D705" s="340"/>
      <c r="E705" s="49">
        <v>73</v>
      </c>
      <c r="F705" s="8" t="s">
        <v>94</v>
      </c>
      <c r="H705" s="29"/>
    </row>
    <row r="706" spans="1:8" ht="15" customHeight="1" x14ac:dyDescent="0.25">
      <c r="A706" s="330"/>
      <c r="B706" s="344"/>
      <c r="C706" s="339" t="s">
        <v>496</v>
      </c>
      <c r="D706" s="340"/>
      <c r="E706" s="315">
        <v>0</v>
      </c>
      <c r="F706" s="8" t="s">
        <v>94</v>
      </c>
      <c r="H706" s="29"/>
    </row>
    <row r="707" spans="1:8" ht="14.45" customHeight="1" x14ac:dyDescent="0.25">
      <c r="A707" s="330"/>
      <c r="B707" s="344"/>
      <c r="C707" s="339" t="s">
        <v>497</v>
      </c>
      <c r="D707" s="340"/>
      <c r="E707" s="49">
        <v>0</v>
      </c>
      <c r="F707" s="8" t="s">
        <v>94</v>
      </c>
      <c r="H707" s="29"/>
    </row>
    <row r="708" spans="1:8" ht="14.45" customHeight="1" x14ac:dyDescent="0.25">
      <c r="A708" s="330"/>
      <c r="B708" s="344"/>
      <c r="C708" s="339" t="s">
        <v>498</v>
      </c>
      <c r="D708" s="340"/>
      <c r="E708" s="315">
        <v>1</v>
      </c>
      <c r="F708" s="8" t="s">
        <v>94</v>
      </c>
      <c r="H708" s="29"/>
    </row>
    <row r="709" spans="1:8" ht="14.45" customHeight="1" x14ac:dyDescent="0.25">
      <c r="A709" s="330"/>
      <c r="B709" s="344"/>
      <c r="C709" s="339" t="s">
        <v>499</v>
      </c>
      <c r="D709" s="340"/>
      <c r="E709" s="49">
        <v>0</v>
      </c>
      <c r="F709" s="8" t="s">
        <v>94</v>
      </c>
      <c r="H709" s="29"/>
    </row>
    <row r="710" spans="1:8" ht="14.45" customHeight="1" x14ac:dyDescent="0.25">
      <c r="A710" s="330"/>
      <c r="B710" s="344"/>
      <c r="C710" s="339" t="s">
        <v>500</v>
      </c>
      <c r="D710" s="340"/>
      <c r="E710" s="315"/>
      <c r="F710" s="8" t="s">
        <v>94</v>
      </c>
      <c r="H710" s="29"/>
    </row>
    <row r="711" spans="1:8" ht="15" customHeight="1" x14ac:dyDescent="0.25">
      <c r="A711" s="330"/>
      <c r="B711" s="344"/>
      <c r="C711" s="339" t="s">
        <v>501</v>
      </c>
      <c r="D711" s="340"/>
      <c r="E711" s="49"/>
      <c r="F711" s="8" t="s">
        <v>94</v>
      </c>
      <c r="H711" s="29"/>
    </row>
    <row r="712" spans="1:8" ht="15.75" customHeight="1" x14ac:dyDescent="0.25">
      <c r="A712" s="330"/>
      <c r="B712" s="344"/>
      <c r="C712" s="339" t="s">
        <v>502</v>
      </c>
      <c r="D712" s="340"/>
      <c r="E712" s="315"/>
      <c r="F712" s="8" t="s">
        <v>94</v>
      </c>
      <c r="G712" s="41"/>
      <c r="H712" s="29"/>
    </row>
    <row r="713" spans="1:8" ht="15.75" customHeight="1" x14ac:dyDescent="0.25">
      <c r="A713" s="330"/>
      <c r="B713" s="344"/>
      <c r="C713" s="339" t="s">
        <v>503</v>
      </c>
      <c r="D713" s="340"/>
      <c r="E713" s="47">
        <f>IF(SUM(E705,E707,E709,E711)&gt;0,(E705*E706+E707*E708+E709*E710+E711*E712)/SUM(E705,E707,E709,E711),0)</f>
        <v>0</v>
      </c>
      <c r="G713" s="41"/>
      <c r="H713" s="29"/>
    </row>
    <row r="714" spans="1:8" ht="15.75" hidden="1" customHeight="1" x14ac:dyDescent="0.25">
      <c r="A714" s="330"/>
      <c r="B714" s="344"/>
      <c r="C714" s="144" t="s">
        <v>185</v>
      </c>
      <c r="D714" s="121">
        <v>3</v>
      </c>
      <c r="E714" s="121">
        <v>3.5</v>
      </c>
      <c r="G714" s="41"/>
      <c r="H714" s="29"/>
    </row>
    <row r="715" spans="1:8" ht="15.75" hidden="1" customHeight="1" x14ac:dyDescent="0.25">
      <c r="A715" s="330"/>
      <c r="B715" s="344"/>
      <c r="C715" s="144" t="s">
        <v>204</v>
      </c>
      <c r="D715" s="121">
        <v>4.5</v>
      </c>
      <c r="E715" s="121">
        <v>7</v>
      </c>
      <c r="G715" s="41"/>
      <c r="H715" s="29"/>
    </row>
    <row r="716" spans="1:8" ht="15.95" customHeight="1" x14ac:dyDescent="0.25">
      <c r="A716" s="331"/>
      <c r="B716" s="345"/>
      <c r="C716" s="337" t="s">
        <v>34</v>
      </c>
      <c r="D716" s="375"/>
      <c r="E716" s="25">
        <f>IF(E713&gt;E715,0,IF(E713&gt;D715,-4/(E715-D715)*(E713-D715)+4,IF(E713&gt;E714,4,IF(E713&gt;D714,4/(E714-D714)*(E713-D714),0))))</f>
        <v>0</v>
      </c>
      <c r="H716" s="29"/>
    </row>
    <row r="717" spans="1:8" ht="15.95" customHeight="1" x14ac:dyDescent="0.25">
      <c r="C717" s="39"/>
      <c r="D717" s="70"/>
      <c r="H717" s="40"/>
    </row>
    <row r="718" spans="1:8" ht="40.5" customHeight="1" x14ac:dyDescent="0.25">
      <c r="A718" s="329">
        <v>57</v>
      </c>
      <c r="B718" s="343"/>
      <c r="C718" s="335" t="s">
        <v>504</v>
      </c>
      <c r="D718" s="336"/>
      <c r="E718" s="36"/>
      <c r="H718" s="210"/>
    </row>
    <row r="719" spans="1:8" ht="15" customHeight="1" x14ac:dyDescent="0.25">
      <c r="A719" s="330"/>
      <c r="B719" s="344"/>
      <c r="C719" s="339" t="s">
        <v>505</v>
      </c>
      <c r="D719" s="340"/>
      <c r="E719" s="49">
        <v>73</v>
      </c>
      <c r="F719" s="8" t="s">
        <v>94</v>
      </c>
      <c r="H719" s="29"/>
    </row>
    <row r="720" spans="1:8" ht="15" customHeight="1" x14ac:dyDescent="0.25">
      <c r="A720" s="330"/>
      <c r="B720" s="344"/>
      <c r="C720" s="339" t="s">
        <v>506</v>
      </c>
      <c r="D720" s="340"/>
      <c r="E720" s="49">
        <v>68</v>
      </c>
      <c r="F720" s="8" t="s">
        <v>94</v>
      </c>
      <c r="H720" s="29"/>
    </row>
    <row r="721" spans="1:8" x14ac:dyDescent="0.25">
      <c r="A721" s="330"/>
      <c r="B721" s="344"/>
      <c r="C721" s="339" t="s">
        <v>507</v>
      </c>
      <c r="D721" s="340"/>
      <c r="E721" s="49">
        <v>106</v>
      </c>
      <c r="H721" s="29"/>
    </row>
    <row r="722" spans="1:8" ht="15" customHeight="1" x14ac:dyDescent="0.25">
      <c r="A722" s="330"/>
      <c r="B722" s="344"/>
      <c r="C722" s="339" t="s">
        <v>508</v>
      </c>
      <c r="D722" s="340"/>
      <c r="E722" s="49">
        <v>58</v>
      </c>
      <c r="F722" s="8" t="s">
        <v>94</v>
      </c>
      <c r="H722" s="29"/>
    </row>
    <row r="723" spans="1:8" ht="15" customHeight="1" x14ac:dyDescent="0.25">
      <c r="A723" s="330"/>
      <c r="B723" s="344"/>
      <c r="C723" s="339" t="s">
        <v>509</v>
      </c>
      <c r="D723" s="340"/>
      <c r="E723" s="49">
        <v>0</v>
      </c>
      <c r="F723" s="8" t="s">
        <v>94</v>
      </c>
      <c r="H723" s="29"/>
    </row>
    <row r="724" spans="1:8" ht="14.45" customHeight="1" x14ac:dyDescent="0.25">
      <c r="A724" s="330"/>
      <c r="B724" s="344"/>
      <c r="C724" s="339" t="s">
        <v>510</v>
      </c>
      <c r="D724" s="340"/>
      <c r="E724" s="49">
        <v>5</v>
      </c>
      <c r="F724" s="8" t="s">
        <v>94</v>
      </c>
      <c r="H724" s="29"/>
    </row>
    <row r="725" spans="1:8" ht="14.45" customHeight="1" x14ac:dyDescent="0.25">
      <c r="A725" s="330"/>
      <c r="B725" s="344"/>
      <c r="C725" s="339" t="s">
        <v>511</v>
      </c>
      <c r="D725" s="340"/>
      <c r="E725" s="49">
        <v>2</v>
      </c>
      <c r="H725" s="29"/>
    </row>
    <row r="726" spans="1:8" ht="14.45" customHeight="1" x14ac:dyDescent="0.25">
      <c r="A726" s="330"/>
      <c r="B726" s="344"/>
      <c r="C726" s="339" t="s">
        <v>512</v>
      </c>
      <c r="D726" s="340"/>
      <c r="E726" s="49">
        <v>1</v>
      </c>
      <c r="F726" s="8" t="s">
        <v>94</v>
      </c>
      <c r="H726" s="29"/>
    </row>
    <row r="727" spans="1:8" ht="14.45" customHeight="1" x14ac:dyDescent="0.25">
      <c r="A727" s="330"/>
      <c r="B727" s="344"/>
      <c r="C727" s="339" t="s">
        <v>513</v>
      </c>
      <c r="D727" s="340"/>
      <c r="E727" s="119">
        <f>IF(SUM(E719:E722)&gt;0,SUM(E723:E726)/SUM(E719:E722),0)</f>
        <v>2.6229508196721311E-2</v>
      </c>
      <c r="H727" s="29"/>
    </row>
    <row r="728" spans="1:8" ht="14.45" hidden="1" customHeight="1" x14ac:dyDescent="0.25">
      <c r="A728" s="330"/>
      <c r="B728" s="344"/>
      <c r="C728" s="170"/>
      <c r="D728" s="131"/>
      <c r="E728" s="122"/>
      <c r="H728" s="29"/>
    </row>
    <row r="729" spans="1:8" ht="15" hidden="1" customHeight="1" x14ac:dyDescent="0.25">
      <c r="A729" s="330"/>
      <c r="B729" s="344"/>
      <c r="C729" s="170"/>
      <c r="D729" s="131"/>
      <c r="E729" s="122"/>
      <c r="H729" s="29"/>
    </row>
    <row r="730" spans="1:8" ht="15.75" hidden="1" customHeight="1" x14ac:dyDescent="0.25">
      <c r="A730" s="330"/>
      <c r="B730" s="344"/>
      <c r="C730" s="144" t="s">
        <v>152</v>
      </c>
      <c r="D730" s="131">
        <v>0.5</v>
      </c>
      <c r="E730" s="122"/>
      <c r="G730" s="41"/>
      <c r="H730" s="29"/>
    </row>
    <row r="731" spans="1:8" ht="15.95" customHeight="1" x14ac:dyDescent="0.25">
      <c r="A731" s="331"/>
      <c r="B731" s="345"/>
      <c r="C731" s="337" t="s">
        <v>34</v>
      </c>
      <c r="D731" s="375"/>
      <c r="E731" s="25">
        <f>IF(E727&gt;=D730,4,1+3/D730*E727)</f>
        <v>1.1573770491803279</v>
      </c>
      <c r="H731" s="29"/>
    </row>
    <row r="732" spans="1:8" ht="15.95" customHeight="1" x14ac:dyDescent="0.25">
      <c r="C732" s="39"/>
      <c r="D732" s="70"/>
      <c r="H732" s="40"/>
    </row>
    <row r="733" spans="1:8" ht="40.5" customHeight="1" x14ac:dyDescent="0.25">
      <c r="A733" s="329">
        <v>58</v>
      </c>
      <c r="B733" s="343"/>
      <c r="C733" s="335" t="s">
        <v>514</v>
      </c>
      <c r="D733" s="336"/>
      <c r="E733" s="36"/>
      <c r="H733" s="210"/>
    </row>
    <row r="734" spans="1:8" ht="15" customHeight="1" x14ac:dyDescent="0.25">
      <c r="A734" s="330"/>
      <c r="B734" s="344"/>
      <c r="C734" s="339" t="s">
        <v>515</v>
      </c>
      <c r="D734" s="340"/>
      <c r="E734" s="49">
        <v>73</v>
      </c>
      <c r="F734" s="8" t="s">
        <v>94</v>
      </c>
      <c r="H734" s="29"/>
    </row>
    <row r="735" spans="1:8" ht="15" customHeight="1" x14ac:dyDescent="0.25">
      <c r="A735" s="330"/>
      <c r="B735" s="344"/>
      <c r="C735" s="339" t="s">
        <v>516</v>
      </c>
      <c r="D735" s="340"/>
      <c r="E735" s="49">
        <v>0</v>
      </c>
      <c r="F735" s="8" t="s">
        <v>94</v>
      </c>
      <c r="H735" s="29"/>
    </row>
    <row r="736" spans="1:8" ht="14.45" customHeight="1" x14ac:dyDescent="0.25">
      <c r="A736" s="330"/>
      <c r="B736" s="344"/>
      <c r="C736" s="339" t="s">
        <v>517</v>
      </c>
      <c r="D736" s="340"/>
      <c r="E736" s="49">
        <v>0</v>
      </c>
      <c r="F736" s="8" t="s">
        <v>94</v>
      </c>
      <c r="H736" s="29"/>
    </row>
    <row r="737" spans="1:8" ht="14.45" customHeight="1" x14ac:dyDescent="0.25">
      <c r="A737" s="330"/>
      <c r="B737" s="344"/>
      <c r="C737" s="199" t="s">
        <v>518</v>
      </c>
      <c r="D737" s="200"/>
      <c r="E737" s="49">
        <v>1</v>
      </c>
      <c r="F737" s="8" t="s">
        <v>94</v>
      </c>
      <c r="H737" s="29"/>
    </row>
    <row r="738" spans="1:8" ht="15" customHeight="1" x14ac:dyDescent="0.25">
      <c r="A738" s="330"/>
      <c r="B738" s="344"/>
      <c r="C738" s="199" t="s">
        <v>519</v>
      </c>
      <c r="D738" s="200"/>
      <c r="E738" s="49">
        <v>0</v>
      </c>
      <c r="F738" s="8" t="s">
        <v>94</v>
      </c>
      <c r="H738" s="29"/>
    </row>
    <row r="739" spans="1:8" x14ac:dyDescent="0.25">
      <c r="A739" s="330"/>
      <c r="B739" s="344"/>
      <c r="C739" s="339" t="s">
        <v>520</v>
      </c>
      <c r="D739" s="340"/>
      <c r="E739" s="119">
        <f>IF(E734&gt;0,SUM(E735:E738)/E734,0)</f>
        <v>1.3698630136986301E-2</v>
      </c>
      <c r="H739" s="29"/>
    </row>
    <row r="740" spans="1:8" ht="14.45" hidden="1" customHeight="1" x14ac:dyDescent="0.25">
      <c r="A740" s="330"/>
      <c r="B740" s="344"/>
      <c r="C740" s="170"/>
      <c r="D740" s="131"/>
      <c r="E740" s="122"/>
      <c r="H740" s="29"/>
    </row>
    <row r="741" spans="1:8" ht="15.75" hidden="1" customHeight="1" x14ac:dyDescent="0.25">
      <c r="A741" s="330"/>
      <c r="B741" s="344"/>
      <c r="C741" s="144" t="s">
        <v>185</v>
      </c>
      <c r="D741" s="131">
        <v>0.3</v>
      </c>
      <c r="E741" s="122"/>
      <c r="G741" s="41"/>
      <c r="H741" s="29"/>
    </row>
    <row r="742" spans="1:8" ht="15.75" hidden="1" customHeight="1" x14ac:dyDescent="0.25">
      <c r="A742" s="330"/>
      <c r="B742" s="344"/>
      <c r="C742" s="144" t="s">
        <v>186</v>
      </c>
      <c r="D742" s="131">
        <v>0.85</v>
      </c>
      <c r="E742" s="122"/>
      <c r="G742" s="41"/>
      <c r="H742" s="29"/>
    </row>
    <row r="743" spans="1:8" ht="15.95" customHeight="1" x14ac:dyDescent="0.25">
      <c r="A743" s="331"/>
      <c r="B743" s="345"/>
      <c r="C743" s="337" t="s">
        <v>34</v>
      </c>
      <c r="D743" s="375"/>
      <c r="E743" s="25">
        <f>IF(E739&gt;=D742,4,IF(E739&gt;=D741,4/(D742-D741)*(E739-D741),0))</f>
        <v>0</v>
      </c>
      <c r="H743" s="29"/>
    </row>
    <row r="744" spans="1:8" ht="15.95" customHeight="1" x14ac:dyDescent="0.25">
      <c r="C744" s="39"/>
      <c r="D744" s="70"/>
      <c r="H744" s="40"/>
    </row>
    <row r="745" spans="1:8" ht="120.75" customHeight="1" x14ac:dyDescent="0.25">
      <c r="A745" s="329">
        <v>59</v>
      </c>
      <c r="B745" s="343"/>
      <c r="C745" s="335" t="s">
        <v>521</v>
      </c>
      <c r="D745" s="336"/>
      <c r="E745" s="21"/>
      <c r="F745" s="8" t="str">
        <f>IF(OR(ISBLANK(E745),E745&gt;4),"Salah isi","judge")</f>
        <v>Salah isi</v>
      </c>
      <c r="H745" s="210"/>
    </row>
    <row r="746" spans="1:8" ht="15.95" customHeight="1" x14ac:dyDescent="0.25">
      <c r="A746" s="330"/>
      <c r="B746" s="344"/>
      <c r="C746" s="22">
        <v>4</v>
      </c>
      <c r="D746" s="62" t="s">
        <v>522</v>
      </c>
      <c r="E746" s="23"/>
      <c r="H746" s="29"/>
    </row>
    <row r="747" spans="1:8" ht="15.95" customHeight="1" x14ac:dyDescent="0.25">
      <c r="A747" s="330"/>
      <c r="B747" s="344"/>
      <c r="C747" s="22">
        <v>3</v>
      </c>
      <c r="D747" s="62" t="s">
        <v>523</v>
      </c>
      <c r="E747" s="23"/>
      <c r="H747" s="29"/>
    </row>
    <row r="748" spans="1:8" ht="15.95" customHeight="1" x14ac:dyDescent="0.25">
      <c r="A748" s="330"/>
      <c r="B748" s="344"/>
      <c r="C748" s="22">
        <v>2</v>
      </c>
      <c r="D748" s="62" t="s">
        <v>524</v>
      </c>
      <c r="E748" s="23"/>
      <c r="H748" s="29"/>
    </row>
    <row r="749" spans="1:8" ht="15.95" customHeight="1" x14ac:dyDescent="0.25">
      <c r="A749" s="330"/>
      <c r="B749" s="344"/>
      <c r="C749" s="22">
        <v>1</v>
      </c>
      <c r="D749" s="62" t="s">
        <v>525</v>
      </c>
      <c r="E749" s="23"/>
      <c r="H749" s="29"/>
    </row>
    <row r="750" spans="1:8" ht="15.95" customHeight="1" x14ac:dyDescent="0.25">
      <c r="A750" s="330"/>
      <c r="B750" s="344"/>
      <c r="C750" s="22">
        <v>0</v>
      </c>
      <c r="D750" s="62" t="s">
        <v>526</v>
      </c>
      <c r="E750" s="24"/>
      <c r="H750" s="29"/>
    </row>
    <row r="751" spans="1:8" ht="15" customHeight="1" x14ac:dyDescent="0.25">
      <c r="A751" s="331"/>
      <c r="B751" s="345"/>
      <c r="C751" s="337" t="s">
        <v>34</v>
      </c>
      <c r="D751" s="338"/>
      <c r="E751" s="25">
        <f>IF(F745="Salah isi",0,E745)</f>
        <v>0</v>
      </c>
      <c r="H751" s="29"/>
    </row>
    <row r="752" spans="1:8" ht="15" customHeight="1" x14ac:dyDescent="0.25">
      <c r="A752" s="26"/>
      <c r="B752" s="26"/>
      <c r="C752" s="27"/>
      <c r="D752" s="64"/>
      <c r="E752" s="28"/>
      <c r="H752" s="29"/>
    </row>
    <row r="753" spans="1:8" ht="29.25" customHeight="1" x14ac:dyDescent="0.25">
      <c r="A753" s="329">
        <v>60</v>
      </c>
      <c r="B753" s="413"/>
      <c r="C753" s="416" t="s">
        <v>527</v>
      </c>
      <c r="D753" s="417"/>
      <c r="E753" s="36"/>
      <c r="H753" s="210"/>
    </row>
    <row r="754" spans="1:8" ht="15" customHeight="1" x14ac:dyDescent="0.25">
      <c r="A754" s="330"/>
      <c r="B754" s="414"/>
      <c r="C754" s="358" t="s">
        <v>528</v>
      </c>
      <c r="D754" s="359"/>
      <c r="E754" s="60">
        <v>36</v>
      </c>
      <c r="F754" s="8" t="s">
        <v>94</v>
      </c>
      <c r="H754" s="29"/>
    </row>
    <row r="755" spans="1:8" ht="15" customHeight="1" x14ac:dyDescent="0.25">
      <c r="A755" s="330"/>
      <c r="B755" s="414"/>
      <c r="C755" s="358" t="s">
        <v>529</v>
      </c>
      <c r="D755" s="359"/>
      <c r="E755" s="60">
        <v>12</v>
      </c>
      <c r="F755" s="8" t="s">
        <v>94</v>
      </c>
      <c r="H755" s="29"/>
    </row>
    <row r="756" spans="1:8" ht="15" customHeight="1" x14ac:dyDescent="0.25">
      <c r="A756" s="330"/>
      <c r="B756" s="414"/>
      <c r="C756" s="358" t="s">
        <v>530</v>
      </c>
      <c r="D756" s="359"/>
      <c r="E756" s="60">
        <v>68</v>
      </c>
      <c r="F756" s="8" t="s">
        <v>94</v>
      </c>
      <c r="H756" s="29"/>
    </row>
    <row r="757" spans="1:8" ht="15" customHeight="1" x14ac:dyDescent="0.25">
      <c r="A757" s="330"/>
      <c r="B757" s="414"/>
      <c r="C757" s="358" t="s">
        <v>531</v>
      </c>
      <c r="D757" s="359"/>
      <c r="E757" s="60">
        <v>15</v>
      </c>
      <c r="F757" s="8" t="s">
        <v>94</v>
      </c>
      <c r="H757" s="29"/>
    </row>
    <row r="758" spans="1:8" ht="15" customHeight="1" x14ac:dyDescent="0.25">
      <c r="A758" s="330"/>
      <c r="B758" s="414"/>
      <c r="C758" s="358" t="s">
        <v>532</v>
      </c>
      <c r="D758" s="359"/>
      <c r="E758" s="60">
        <v>10</v>
      </c>
      <c r="F758" s="8" t="s">
        <v>94</v>
      </c>
      <c r="H758" s="29"/>
    </row>
    <row r="759" spans="1:8" ht="15" customHeight="1" x14ac:dyDescent="0.25">
      <c r="A759" s="330"/>
      <c r="B759" s="414"/>
      <c r="C759" s="358" t="s">
        <v>533</v>
      </c>
      <c r="D759" s="359"/>
      <c r="E759" s="60">
        <v>30</v>
      </c>
      <c r="F759" s="8" t="s">
        <v>94</v>
      </c>
      <c r="H759" s="29"/>
    </row>
    <row r="760" spans="1:8" ht="17.100000000000001" customHeight="1" x14ac:dyDescent="0.25">
      <c r="A760" s="330"/>
      <c r="B760" s="414"/>
      <c r="C760" s="136" t="s">
        <v>534</v>
      </c>
      <c r="D760" s="137"/>
      <c r="E760" s="138">
        <f>IF(SUM(E754:E756)&gt;=300,1,2)</f>
        <v>2</v>
      </c>
      <c r="H760" s="29"/>
    </row>
    <row r="761" spans="1:8" ht="15" customHeight="1" x14ac:dyDescent="0.25">
      <c r="A761" s="330"/>
      <c r="B761" s="414"/>
      <c r="C761" s="358" t="s">
        <v>535</v>
      </c>
      <c r="D761" s="359"/>
      <c r="E761" s="79">
        <f>IF(SUM(E754:E756)&gt;0,SUM(E757:E759)/SUM(E754:E756),0)</f>
        <v>0.47413793103448276</v>
      </c>
      <c r="H761" s="29"/>
    </row>
    <row r="762" spans="1:8" ht="18" customHeight="1" x14ac:dyDescent="0.25">
      <c r="A762" s="330"/>
      <c r="B762" s="414"/>
      <c r="C762" s="78" t="s">
        <v>536</v>
      </c>
      <c r="D762" s="77"/>
      <c r="E762" s="139">
        <f>IF(E760=1,30%,50%-SUM(E754:E756)/300*20%)</f>
        <v>0.42266666666666663</v>
      </c>
      <c r="H762" s="29"/>
    </row>
    <row r="763" spans="1:8" ht="48.75" customHeight="1" x14ac:dyDescent="0.25">
      <c r="A763" s="330"/>
      <c r="B763" s="344"/>
      <c r="C763" s="408" t="s">
        <v>537</v>
      </c>
      <c r="D763" s="408"/>
      <c r="E763" s="135"/>
      <c r="H763" s="29"/>
    </row>
    <row r="764" spans="1:8" ht="14.45" customHeight="1" x14ac:dyDescent="0.25">
      <c r="A764" s="330"/>
      <c r="B764" s="344"/>
      <c r="C764" s="353" t="s">
        <v>538</v>
      </c>
      <c r="D764" s="120" t="s">
        <v>539</v>
      </c>
      <c r="E764" s="132">
        <v>5</v>
      </c>
      <c r="F764" s="8" t="s">
        <v>94</v>
      </c>
      <c r="H764" s="29"/>
    </row>
    <row r="765" spans="1:8" ht="15" customHeight="1" x14ac:dyDescent="0.25">
      <c r="A765" s="330"/>
      <c r="B765" s="344"/>
      <c r="C765" s="354"/>
      <c r="D765" s="120" t="s">
        <v>540</v>
      </c>
      <c r="E765" s="132">
        <v>6</v>
      </c>
      <c r="F765" s="8" t="s">
        <v>94</v>
      </c>
      <c r="H765" s="29"/>
    </row>
    <row r="766" spans="1:8" ht="15" customHeight="1" x14ac:dyDescent="0.25">
      <c r="A766" s="330"/>
      <c r="B766" s="344"/>
      <c r="C766" s="355"/>
      <c r="D766" s="120" t="s">
        <v>541</v>
      </c>
      <c r="E766" s="132">
        <v>4</v>
      </c>
      <c r="F766" s="8" t="s">
        <v>94</v>
      </c>
      <c r="H766" s="29"/>
    </row>
    <row r="767" spans="1:8" ht="14.45" customHeight="1" x14ac:dyDescent="0.25">
      <c r="A767" s="330"/>
      <c r="B767" s="344"/>
      <c r="C767" s="353" t="s">
        <v>542</v>
      </c>
      <c r="D767" s="120" t="s">
        <v>539</v>
      </c>
      <c r="E767" s="132">
        <v>3</v>
      </c>
      <c r="F767" s="8" t="s">
        <v>94</v>
      </c>
      <c r="H767" s="29"/>
    </row>
    <row r="768" spans="1:8" ht="15" customHeight="1" x14ac:dyDescent="0.25">
      <c r="A768" s="330"/>
      <c r="B768" s="344"/>
      <c r="C768" s="354"/>
      <c r="D768" s="120" t="s">
        <v>540</v>
      </c>
      <c r="E768" s="132">
        <v>4</v>
      </c>
      <c r="F768" s="8" t="s">
        <v>94</v>
      </c>
      <c r="H768" s="29"/>
    </row>
    <row r="769" spans="1:8" ht="15" customHeight="1" x14ac:dyDescent="0.25">
      <c r="A769" s="330"/>
      <c r="B769" s="344"/>
      <c r="C769" s="355"/>
      <c r="D769" s="120" t="s">
        <v>541</v>
      </c>
      <c r="E769" s="132">
        <v>3</v>
      </c>
      <c r="F769" s="8" t="s">
        <v>94</v>
      </c>
      <c r="H769" s="29"/>
    </row>
    <row r="770" spans="1:8" ht="14.45" customHeight="1" x14ac:dyDescent="0.25">
      <c r="A770" s="330"/>
      <c r="B770" s="344"/>
      <c r="C770" s="353" t="s">
        <v>543</v>
      </c>
      <c r="D770" s="120" t="s">
        <v>539</v>
      </c>
      <c r="E770" s="132">
        <v>10</v>
      </c>
      <c r="F770" s="8" t="s">
        <v>94</v>
      </c>
      <c r="H770" s="29"/>
    </row>
    <row r="771" spans="1:8" ht="15" customHeight="1" x14ac:dyDescent="0.25">
      <c r="A771" s="330"/>
      <c r="B771" s="344"/>
      <c r="C771" s="354"/>
      <c r="D771" s="120" t="s">
        <v>540</v>
      </c>
      <c r="E771" s="132">
        <v>15</v>
      </c>
      <c r="F771" s="8" t="s">
        <v>94</v>
      </c>
      <c r="H771" s="29"/>
    </row>
    <row r="772" spans="1:8" ht="15" customHeight="1" x14ac:dyDescent="0.25">
      <c r="A772" s="330"/>
      <c r="B772" s="344"/>
      <c r="C772" s="355"/>
      <c r="D772" s="120" t="s">
        <v>541</v>
      </c>
      <c r="E772" s="132">
        <v>5</v>
      </c>
      <c r="F772" s="8" t="s">
        <v>94</v>
      </c>
      <c r="H772" s="29"/>
    </row>
    <row r="773" spans="1:8" ht="14.45" hidden="1" customHeight="1" x14ac:dyDescent="0.25">
      <c r="A773" s="330"/>
      <c r="B773" s="344"/>
      <c r="C773" s="144" t="s">
        <v>185</v>
      </c>
      <c r="D773" s="133">
        <v>3</v>
      </c>
      <c r="E773" s="122"/>
      <c r="H773" s="29"/>
    </row>
    <row r="774" spans="1:8" ht="14.45" hidden="1" customHeight="1" x14ac:dyDescent="0.25">
      <c r="A774" s="330"/>
      <c r="B774" s="344"/>
      <c r="C774" s="144" t="s">
        <v>186</v>
      </c>
      <c r="D774" s="133">
        <v>6</v>
      </c>
      <c r="E774" s="122"/>
      <c r="H774" s="29"/>
    </row>
    <row r="775" spans="1:8" ht="14.45" hidden="1" customHeight="1" x14ac:dyDescent="0.25">
      <c r="A775" s="330"/>
      <c r="B775" s="344"/>
      <c r="C775" s="144" t="s">
        <v>204</v>
      </c>
      <c r="D775" s="133">
        <v>12</v>
      </c>
      <c r="E775" s="122"/>
      <c r="H775" s="29"/>
    </row>
    <row r="776" spans="1:8" ht="29.1" hidden="1" customHeight="1" x14ac:dyDescent="0.25">
      <c r="A776" s="330"/>
      <c r="B776" s="344"/>
      <c r="C776" s="142" t="s">
        <v>544</v>
      </c>
      <c r="D776" s="134">
        <f>AVERAGE(0,D773)</f>
        <v>1.5</v>
      </c>
      <c r="E776" s="96"/>
      <c r="H776" s="29"/>
    </row>
    <row r="777" spans="1:8" ht="29.1" hidden="1" customHeight="1" x14ac:dyDescent="0.25">
      <c r="A777" s="330"/>
      <c r="B777" s="344"/>
      <c r="C777" s="142" t="s">
        <v>545</v>
      </c>
      <c r="D777" s="134">
        <f>AVERAGE(D773,D774)</f>
        <v>4.5</v>
      </c>
      <c r="E777" s="96"/>
      <c r="H777" s="29"/>
    </row>
    <row r="778" spans="1:8" ht="29.1" hidden="1" customHeight="1" x14ac:dyDescent="0.25">
      <c r="A778" s="330"/>
      <c r="B778" s="344"/>
      <c r="C778" s="142" t="s">
        <v>546</v>
      </c>
      <c r="D778" s="134">
        <f>AVERAGE(D774,D775)</f>
        <v>9</v>
      </c>
      <c r="E778" s="96"/>
      <c r="H778" s="29"/>
    </row>
    <row r="779" spans="1:8" ht="15" customHeight="1" x14ac:dyDescent="0.25">
      <c r="A779" s="330"/>
      <c r="B779" s="344"/>
      <c r="C779" s="327" t="s">
        <v>547</v>
      </c>
      <c r="D779" s="328"/>
      <c r="E779" s="59">
        <f>IF(SUM(E764:E772)&gt;0,((E764+E767+E770)*D776+(E765+E768+E771)*D777+(E766+E769+E772)*D778)/SUM(E764:E772),0)</f>
        <v>4.5</v>
      </c>
      <c r="H779" s="29"/>
    </row>
    <row r="780" spans="1:8" ht="15" customHeight="1" x14ac:dyDescent="0.25">
      <c r="A780" s="330"/>
      <c r="B780" s="344"/>
      <c r="C780" s="327" t="s">
        <v>548</v>
      </c>
      <c r="D780" s="328"/>
      <c r="E780" s="55">
        <f>IF(E779&gt;=D774,0,IF(E779&gt;3,-4/(D774-D773)*(E779-D773)+4,4))</f>
        <v>2</v>
      </c>
      <c r="H780" s="29"/>
    </row>
    <row r="781" spans="1:8" ht="15.95" customHeight="1" x14ac:dyDescent="0.25">
      <c r="A781" s="331"/>
      <c r="B781" s="345"/>
      <c r="C781" s="337" t="s">
        <v>34</v>
      </c>
      <c r="D781" s="338"/>
      <c r="E781" s="25">
        <f>IF(E761&gt;=E762,E780,E761/E762*E780)</f>
        <v>2</v>
      </c>
      <c r="H781" s="29"/>
    </row>
    <row r="782" spans="1:8" ht="15.95" customHeight="1" x14ac:dyDescent="0.25">
      <c r="C782" s="39"/>
      <c r="D782" s="70"/>
      <c r="H782" s="40"/>
    </row>
    <row r="783" spans="1:8" ht="29.25" customHeight="1" x14ac:dyDescent="0.25">
      <c r="A783" s="329">
        <v>61</v>
      </c>
      <c r="B783" s="413"/>
      <c r="C783" s="416" t="s">
        <v>549</v>
      </c>
      <c r="D783" s="417"/>
      <c r="E783" s="36"/>
      <c r="H783" s="210"/>
    </row>
    <row r="784" spans="1:8" ht="15" customHeight="1" x14ac:dyDescent="0.25">
      <c r="A784" s="330"/>
      <c r="B784" s="414"/>
      <c r="C784" s="358" t="s">
        <v>528</v>
      </c>
      <c r="D784" s="359"/>
      <c r="E784" s="60">
        <v>36</v>
      </c>
      <c r="F784" s="8" t="s">
        <v>94</v>
      </c>
      <c r="H784" s="29"/>
    </row>
    <row r="785" spans="1:8" ht="15" customHeight="1" x14ac:dyDescent="0.25">
      <c r="A785" s="330"/>
      <c r="B785" s="414"/>
      <c r="C785" s="358" t="s">
        <v>529</v>
      </c>
      <c r="D785" s="359"/>
      <c r="E785" s="60">
        <v>12</v>
      </c>
      <c r="F785" s="8" t="s">
        <v>94</v>
      </c>
      <c r="H785" s="29"/>
    </row>
    <row r="786" spans="1:8" ht="15" customHeight="1" x14ac:dyDescent="0.25">
      <c r="A786" s="330"/>
      <c r="B786" s="414"/>
      <c r="C786" s="358" t="s">
        <v>530</v>
      </c>
      <c r="D786" s="359"/>
      <c r="E786" s="60">
        <v>68</v>
      </c>
      <c r="F786" s="8" t="s">
        <v>94</v>
      </c>
      <c r="H786" s="29"/>
    </row>
    <row r="787" spans="1:8" ht="15" customHeight="1" x14ac:dyDescent="0.25">
      <c r="A787" s="330"/>
      <c r="B787" s="414"/>
      <c r="C787" s="358" t="s">
        <v>531</v>
      </c>
      <c r="D787" s="359"/>
      <c r="E787" s="60">
        <v>15</v>
      </c>
      <c r="F787" s="8" t="s">
        <v>94</v>
      </c>
      <c r="H787" s="29"/>
    </row>
    <row r="788" spans="1:8" ht="15" customHeight="1" x14ac:dyDescent="0.25">
      <c r="A788" s="330"/>
      <c r="B788" s="414"/>
      <c r="C788" s="358" t="s">
        <v>532</v>
      </c>
      <c r="D788" s="359"/>
      <c r="E788" s="60">
        <v>10</v>
      </c>
      <c r="F788" s="8" t="s">
        <v>94</v>
      </c>
      <c r="H788" s="29"/>
    </row>
    <row r="789" spans="1:8" ht="15" customHeight="1" x14ac:dyDescent="0.25">
      <c r="A789" s="330"/>
      <c r="B789" s="414"/>
      <c r="C789" s="358" t="s">
        <v>550</v>
      </c>
      <c r="D789" s="359"/>
      <c r="E789" s="60">
        <v>30</v>
      </c>
      <c r="F789" s="8" t="s">
        <v>94</v>
      </c>
      <c r="H789" s="29"/>
    </row>
    <row r="790" spans="1:8" ht="17.100000000000001" customHeight="1" x14ac:dyDescent="0.25">
      <c r="A790" s="330"/>
      <c r="B790" s="414"/>
      <c r="C790" s="136" t="s">
        <v>534</v>
      </c>
      <c r="D790" s="137"/>
      <c r="E790" s="138">
        <f>IF(SUM(E784:E786)&gt;=300,1,2)</f>
        <v>2</v>
      </c>
      <c r="H790" s="29"/>
    </row>
    <row r="791" spans="1:8" ht="15" customHeight="1" x14ac:dyDescent="0.25">
      <c r="A791" s="330"/>
      <c r="B791" s="414"/>
      <c r="C791" s="358" t="s">
        <v>535</v>
      </c>
      <c r="D791" s="359"/>
      <c r="E791" s="79">
        <f>IF(SUM(E784:E786)&gt;0,SUM(E787:E789)/SUM(E784:E786),0)</f>
        <v>0.47413793103448276</v>
      </c>
      <c r="H791" s="29"/>
    </row>
    <row r="792" spans="1:8" ht="18" customHeight="1" x14ac:dyDescent="0.25">
      <c r="A792" s="330"/>
      <c r="B792" s="414"/>
      <c r="C792" s="78" t="s">
        <v>536</v>
      </c>
      <c r="D792" s="77"/>
      <c r="E792" s="139">
        <f>IF(E790=1,30%,50%-SUM(E784:E786)/300*20%)</f>
        <v>0.42266666666666663</v>
      </c>
      <c r="H792" s="29"/>
    </row>
    <row r="793" spans="1:8" ht="48.75" customHeight="1" x14ac:dyDescent="0.25">
      <c r="A793" s="330"/>
      <c r="B793" s="344"/>
      <c r="C793" s="408" t="s">
        <v>551</v>
      </c>
      <c r="D793" s="408"/>
      <c r="E793" s="135"/>
      <c r="H793" s="29"/>
    </row>
    <row r="794" spans="1:8" ht="14.45" customHeight="1" x14ac:dyDescent="0.25">
      <c r="A794" s="330"/>
      <c r="B794" s="344"/>
      <c r="C794" s="353" t="s">
        <v>538</v>
      </c>
      <c r="D794" s="120" t="s">
        <v>552</v>
      </c>
      <c r="E794" s="147">
        <v>5</v>
      </c>
      <c r="F794" s="8" t="s">
        <v>94</v>
      </c>
      <c r="H794" s="29"/>
    </row>
    <row r="795" spans="1:8" ht="15" customHeight="1" x14ac:dyDescent="0.25">
      <c r="A795" s="330"/>
      <c r="B795" s="344"/>
      <c r="C795" s="354"/>
      <c r="D795" s="120" t="s">
        <v>553</v>
      </c>
      <c r="E795" s="147">
        <v>6</v>
      </c>
      <c r="F795" s="8" t="s">
        <v>94</v>
      </c>
      <c r="H795" s="29"/>
    </row>
    <row r="796" spans="1:8" ht="15" customHeight="1" x14ac:dyDescent="0.25">
      <c r="A796" s="330"/>
      <c r="B796" s="344"/>
      <c r="C796" s="355"/>
      <c r="D796" s="120" t="s">
        <v>554</v>
      </c>
      <c r="E796" s="147">
        <v>4</v>
      </c>
      <c r="F796" s="8" t="s">
        <v>94</v>
      </c>
      <c r="H796" s="29"/>
    </row>
    <row r="797" spans="1:8" ht="14.45" customHeight="1" x14ac:dyDescent="0.25">
      <c r="A797" s="330"/>
      <c r="B797" s="344"/>
      <c r="C797" s="353" t="s">
        <v>542</v>
      </c>
      <c r="D797" s="120" t="s">
        <v>552</v>
      </c>
      <c r="E797" s="147">
        <v>4</v>
      </c>
      <c r="F797" s="8" t="s">
        <v>94</v>
      </c>
      <c r="H797" s="29"/>
    </row>
    <row r="798" spans="1:8" ht="15" customHeight="1" x14ac:dyDescent="0.25">
      <c r="A798" s="330"/>
      <c r="B798" s="344"/>
      <c r="C798" s="354"/>
      <c r="D798" s="120" t="s">
        <v>553</v>
      </c>
      <c r="E798" s="147">
        <v>6</v>
      </c>
      <c r="F798" s="8" t="s">
        <v>94</v>
      </c>
      <c r="H798" s="29"/>
    </row>
    <row r="799" spans="1:8" ht="15" customHeight="1" x14ac:dyDescent="0.25">
      <c r="A799" s="330"/>
      <c r="B799" s="344"/>
      <c r="C799" s="355"/>
      <c r="D799" s="120" t="s">
        <v>554</v>
      </c>
      <c r="E799" s="147">
        <v>2</v>
      </c>
      <c r="F799" s="8" t="s">
        <v>94</v>
      </c>
      <c r="H799" s="29"/>
    </row>
    <row r="800" spans="1:8" ht="14.45" customHeight="1" x14ac:dyDescent="0.25">
      <c r="A800" s="330"/>
      <c r="B800" s="344"/>
      <c r="C800" s="353" t="s">
        <v>543</v>
      </c>
      <c r="D800" s="120" t="s">
        <v>552</v>
      </c>
      <c r="E800" s="147">
        <v>15</v>
      </c>
      <c r="F800" s="8" t="s">
        <v>94</v>
      </c>
      <c r="H800" s="29"/>
    </row>
    <row r="801" spans="1:8" ht="15" customHeight="1" x14ac:dyDescent="0.25">
      <c r="A801" s="330"/>
      <c r="B801" s="344"/>
      <c r="C801" s="354"/>
      <c r="D801" s="120" t="s">
        <v>553</v>
      </c>
      <c r="E801" s="147">
        <v>10</v>
      </c>
      <c r="F801" s="8" t="s">
        <v>94</v>
      </c>
      <c r="H801" s="29"/>
    </row>
    <row r="802" spans="1:8" ht="15" customHeight="1" x14ac:dyDescent="0.25">
      <c r="A802" s="330"/>
      <c r="B802" s="344"/>
      <c r="C802" s="355"/>
      <c r="D802" s="120" t="s">
        <v>554</v>
      </c>
      <c r="E802" s="147">
        <v>5</v>
      </c>
      <c r="F802" s="8" t="s">
        <v>94</v>
      </c>
      <c r="H802" s="29"/>
    </row>
    <row r="803" spans="1:8" ht="14.45" hidden="1" customHeight="1" x14ac:dyDescent="0.25">
      <c r="A803" s="330"/>
      <c r="B803" s="344"/>
      <c r="C803" s="144" t="s">
        <v>152</v>
      </c>
      <c r="D803" s="146">
        <v>0.6</v>
      </c>
      <c r="E803" s="122"/>
      <c r="H803" s="29"/>
    </row>
    <row r="804" spans="1:8" ht="14.45" hidden="1" customHeight="1" x14ac:dyDescent="0.25">
      <c r="A804" s="330"/>
      <c r="B804" s="344"/>
      <c r="C804" s="142" t="s">
        <v>185</v>
      </c>
      <c r="D804" s="145">
        <v>0.3</v>
      </c>
      <c r="E804" s="96" t="s">
        <v>555</v>
      </c>
      <c r="H804" s="29"/>
    </row>
    <row r="805" spans="1:8" ht="14.45" hidden="1" customHeight="1" x14ac:dyDescent="0.25">
      <c r="A805" s="330"/>
      <c r="B805" s="344"/>
      <c r="C805" s="142" t="s">
        <v>186</v>
      </c>
      <c r="D805" s="145">
        <v>0.7</v>
      </c>
      <c r="E805" s="96" t="s">
        <v>556</v>
      </c>
      <c r="H805" s="29"/>
    </row>
    <row r="806" spans="1:8" ht="14.45" hidden="1" customHeight="1" x14ac:dyDescent="0.25">
      <c r="A806" s="330"/>
      <c r="B806" s="344"/>
      <c r="C806" s="142" t="s">
        <v>204</v>
      </c>
      <c r="D806" s="145">
        <v>1</v>
      </c>
      <c r="E806" s="96" t="s">
        <v>557</v>
      </c>
      <c r="H806" s="29"/>
    </row>
    <row r="807" spans="1:8" ht="15" customHeight="1" x14ac:dyDescent="0.25">
      <c r="A807" s="330"/>
      <c r="B807" s="344"/>
      <c r="C807" s="327" t="s">
        <v>558</v>
      </c>
      <c r="D807" s="328"/>
      <c r="E807" s="56">
        <f>IF(SUM(E794:E802)&gt;0,((E794+E797+E800)*D804+(E795+E798+E801)*D805+(E796+E799+E802)*D806)/SUM(E794:E802),0)</f>
        <v>0.58947368421052626</v>
      </c>
      <c r="H807" s="29"/>
    </row>
    <row r="808" spans="1:8" ht="15" customHeight="1" x14ac:dyDescent="0.25">
      <c r="A808" s="330"/>
      <c r="B808" s="344"/>
      <c r="C808" s="327" t="s">
        <v>548</v>
      </c>
      <c r="D808" s="328"/>
      <c r="E808" s="55">
        <f>IF(E807&gt;=80%,4,5*E807)</f>
        <v>2.9473684210526314</v>
      </c>
      <c r="H808" s="29"/>
    </row>
    <row r="809" spans="1:8" ht="15.95" customHeight="1" x14ac:dyDescent="0.25">
      <c r="A809" s="331"/>
      <c r="B809" s="345"/>
      <c r="C809" s="337" t="s">
        <v>34</v>
      </c>
      <c r="D809" s="338"/>
      <c r="E809" s="25">
        <f>IF(E791&gt;=E792,E808,E791/E792*E808)</f>
        <v>2.9473684210526314</v>
      </c>
      <c r="H809" s="29"/>
    </row>
    <row r="810" spans="1:8" ht="15.95" customHeight="1" x14ac:dyDescent="0.25">
      <c r="C810" s="39"/>
      <c r="D810" s="70"/>
      <c r="H810" s="40"/>
    </row>
    <row r="811" spans="1:8" ht="29.25" customHeight="1" x14ac:dyDescent="0.25">
      <c r="A811" s="329">
        <v>62</v>
      </c>
      <c r="B811" s="413"/>
      <c r="C811" s="416" t="s">
        <v>559</v>
      </c>
      <c r="D811" s="417"/>
      <c r="E811" s="36"/>
      <c r="H811" s="210"/>
    </row>
    <row r="812" spans="1:8" ht="15" customHeight="1" x14ac:dyDescent="0.25">
      <c r="A812" s="330"/>
      <c r="B812" s="414"/>
      <c r="C812" s="358" t="s">
        <v>528</v>
      </c>
      <c r="D812" s="359"/>
      <c r="E812" s="60"/>
      <c r="F812" s="8" t="s">
        <v>94</v>
      </c>
      <c r="H812" s="29"/>
    </row>
    <row r="813" spans="1:8" ht="15" customHeight="1" x14ac:dyDescent="0.25">
      <c r="A813" s="330"/>
      <c r="B813" s="414"/>
      <c r="C813" s="358" t="s">
        <v>529</v>
      </c>
      <c r="D813" s="359"/>
      <c r="E813" s="60"/>
      <c r="F813" s="8" t="s">
        <v>94</v>
      </c>
      <c r="H813" s="29"/>
    </row>
    <row r="814" spans="1:8" ht="15" customHeight="1" x14ac:dyDescent="0.25">
      <c r="A814" s="330"/>
      <c r="B814" s="414"/>
      <c r="C814" s="358" t="s">
        <v>530</v>
      </c>
      <c r="D814" s="359"/>
      <c r="E814" s="60">
        <v>68</v>
      </c>
      <c r="F814" s="8" t="s">
        <v>94</v>
      </c>
      <c r="H814" s="29"/>
    </row>
    <row r="815" spans="1:8" ht="15" customHeight="1" x14ac:dyDescent="0.25">
      <c r="A815" s="330"/>
      <c r="B815" s="414"/>
      <c r="C815" s="358" t="s">
        <v>560</v>
      </c>
      <c r="D815" s="359"/>
      <c r="E815" s="60"/>
      <c r="F815" s="8" t="s">
        <v>94</v>
      </c>
      <c r="H815" s="29"/>
    </row>
    <row r="816" spans="1:8" ht="15" customHeight="1" x14ac:dyDescent="0.25">
      <c r="A816" s="330"/>
      <c r="B816" s="414"/>
      <c r="C816" s="358" t="s">
        <v>561</v>
      </c>
      <c r="D816" s="359"/>
      <c r="E816" s="60"/>
      <c r="F816" s="8" t="s">
        <v>94</v>
      </c>
      <c r="H816" s="29"/>
    </row>
    <row r="817" spans="1:8" ht="15" customHeight="1" x14ac:dyDescent="0.25">
      <c r="A817" s="330"/>
      <c r="B817" s="414"/>
      <c r="C817" s="358" t="s">
        <v>562</v>
      </c>
      <c r="D817" s="359"/>
      <c r="E817" s="60"/>
      <c r="F817" s="8" t="s">
        <v>94</v>
      </c>
      <c r="H817" s="29"/>
    </row>
    <row r="818" spans="1:8" ht="17.100000000000001" customHeight="1" x14ac:dyDescent="0.25">
      <c r="A818" s="330"/>
      <c r="B818" s="414"/>
      <c r="C818" s="136" t="s">
        <v>534</v>
      </c>
      <c r="D818" s="137"/>
      <c r="E818" s="138">
        <f>IF(SUM(E812:E814)&gt;=300,1,2)</f>
        <v>2</v>
      </c>
      <c r="H818" s="29"/>
    </row>
    <row r="819" spans="1:8" ht="15" customHeight="1" x14ac:dyDescent="0.25">
      <c r="A819" s="330"/>
      <c r="B819" s="414"/>
      <c r="C819" s="358" t="s">
        <v>535</v>
      </c>
      <c r="D819" s="359"/>
      <c r="E819" s="79">
        <f>IF(SUM(E812:E814)&gt;0,SUM(E815:E817)/SUM(E812:E814),0)</f>
        <v>0</v>
      </c>
      <c r="H819" s="29"/>
    </row>
    <row r="820" spans="1:8" ht="18" customHeight="1" x14ac:dyDescent="0.25">
      <c r="A820" s="330"/>
      <c r="B820" s="414"/>
      <c r="C820" s="78" t="s">
        <v>536</v>
      </c>
      <c r="D820" s="77"/>
      <c r="E820" s="139">
        <f>IF(E818=1,30%,50%-SUM(E812:E814)/300*20%)</f>
        <v>0.45466666666666666</v>
      </c>
      <c r="H820" s="29"/>
    </row>
    <row r="821" spans="1:8" ht="48.75" customHeight="1" x14ac:dyDescent="0.25">
      <c r="A821" s="330"/>
      <c r="B821" s="344"/>
      <c r="C821" s="408" t="s">
        <v>563</v>
      </c>
      <c r="D821" s="408"/>
      <c r="E821" s="135"/>
      <c r="H821" s="29"/>
    </row>
    <row r="822" spans="1:8" ht="30" customHeight="1" x14ac:dyDescent="0.25">
      <c r="A822" s="330"/>
      <c r="B822" s="344"/>
      <c r="C822" s="353" t="s">
        <v>564</v>
      </c>
      <c r="D822" s="120" t="s">
        <v>565</v>
      </c>
      <c r="E822" s="147">
        <v>0</v>
      </c>
      <c r="F822" s="8" t="s">
        <v>94</v>
      </c>
      <c r="H822" s="29"/>
    </row>
    <row r="823" spans="1:8" ht="32.1" customHeight="1" x14ac:dyDescent="0.25">
      <c r="A823" s="330"/>
      <c r="B823" s="344"/>
      <c r="C823" s="354"/>
      <c r="D823" s="120" t="s">
        <v>566</v>
      </c>
      <c r="E823" s="147">
        <v>0</v>
      </c>
      <c r="F823" s="8" t="s">
        <v>94</v>
      </c>
      <c r="H823" s="29"/>
    </row>
    <row r="824" spans="1:8" ht="32.1" customHeight="1" x14ac:dyDescent="0.25">
      <c r="A824" s="330"/>
      <c r="B824" s="344"/>
      <c r="C824" s="355"/>
      <c r="D824" s="120" t="s">
        <v>567</v>
      </c>
      <c r="E824" s="147">
        <v>0</v>
      </c>
      <c r="F824" s="8" t="s">
        <v>94</v>
      </c>
      <c r="H824" s="29"/>
    </row>
    <row r="825" spans="1:8" ht="30" customHeight="1" x14ac:dyDescent="0.25">
      <c r="A825" s="330"/>
      <c r="B825" s="344"/>
      <c r="C825" s="353" t="s">
        <v>568</v>
      </c>
      <c r="D825" s="120" t="s">
        <v>565</v>
      </c>
      <c r="E825" s="147">
        <v>0</v>
      </c>
      <c r="F825" s="8" t="s">
        <v>94</v>
      </c>
      <c r="H825" s="29"/>
    </row>
    <row r="826" spans="1:8" ht="32.1" customHeight="1" x14ac:dyDescent="0.25">
      <c r="A826" s="330"/>
      <c r="B826" s="344"/>
      <c r="C826" s="354"/>
      <c r="D826" s="120" t="s">
        <v>566</v>
      </c>
      <c r="E826" s="147">
        <v>0</v>
      </c>
      <c r="F826" s="8" t="s">
        <v>94</v>
      </c>
      <c r="H826" s="29"/>
    </row>
    <row r="827" spans="1:8" ht="32.1" customHeight="1" x14ac:dyDescent="0.25">
      <c r="A827" s="330"/>
      <c r="B827" s="344"/>
      <c r="C827" s="355"/>
      <c r="D827" s="120" t="s">
        <v>567</v>
      </c>
      <c r="E827" s="147">
        <v>0</v>
      </c>
      <c r="F827" s="8" t="s">
        <v>94</v>
      </c>
      <c r="H827" s="29"/>
    </row>
    <row r="828" spans="1:8" ht="30" customHeight="1" x14ac:dyDescent="0.25">
      <c r="A828" s="330"/>
      <c r="B828" s="344"/>
      <c r="C828" s="353" t="s">
        <v>569</v>
      </c>
      <c r="D828" s="120" t="s">
        <v>565</v>
      </c>
      <c r="E828" s="147">
        <v>0</v>
      </c>
      <c r="F828" s="8" t="s">
        <v>94</v>
      </c>
      <c r="H828" s="29"/>
    </row>
    <row r="829" spans="1:8" ht="32.1" customHeight="1" x14ac:dyDescent="0.25">
      <c r="A829" s="330"/>
      <c r="B829" s="344"/>
      <c r="C829" s="354"/>
      <c r="D829" s="120" t="s">
        <v>566</v>
      </c>
      <c r="E829" s="147">
        <v>5</v>
      </c>
      <c r="F829" s="8" t="s">
        <v>94</v>
      </c>
      <c r="H829" s="29"/>
    </row>
    <row r="830" spans="1:8" ht="32.1" customHeight="1" x14ac:dyDescent="0.25">
      <c r="A830" s="330"/>
      <c r="B830" s="344"/>
      <c r="C830" s="355"/>
      <c r="D830" s="120" t="s">
        <v>567</v>
      </c>
      <c r="E830" s="147">
        <v>30</v>
      </c>
      <c r="F830" s="8" t="s">
        <v>94</v>
      </c>
      <c r="H830" s="29"/>
    </row>
    <row r="831" spans="1:8" ht="15" customHeight="1" x14ac:dyDescent="0.25">
      <c r="A831" s="330"/>
      <c r="B831" s="344"/>
      <c r="C831" s="327" t="s">
        <v>570</v>
      </c>
      <c r="D831" s="328"/>
      <c r="E831" s="54">
        <f>IF(SUM(E822:E830)&gt;0,(E822+E825+E828)/SUM(E822:E830),0)</f>
        <v>0</v>
      </c>
      <c r="G831" s="41"/>
      <c r="H831" s="29"/>
    </row>
    <row r="832" spans="1:8" ht="15.75" customHeight="1" x14ac:dyDescent="0.25">
      <c r="A832" s="330"/>
      <c r="B832" s="344"/>
      <c r="C832" s="327" t="s">
        <v>571</v>
      </c>
      <c r="D832" s="328"/>
      <c r="E832" s="54">
        <f>IF(SUM(E822:E830)&gt;0,(E823+E826+E829)/SUM(E822:E830),0)</f>
        <v>0.14285714285714285</v>
      </c>
      <c r="G832" s="41"/>
      <c r="H832" s="29"/>
    </row>
    <row r="833" spans="1:8" ht="15.75" customHeight="1" x14ac:dyDescent="0.25">
      <c r="A833" s="330"/>
      <c r="B833" s="344"/>
      <c r="C833" s="327" t="s">
        <v>572</v>
      </c>
      <c r="D833" s="328"/>
      <c r="E833" s="54">
        <f>IF(SUM(E822:E830)&gt;0,(E824+E827+E830)/SUM(E822:E830),0)</f>
        <v>0.8571428571428571</v>
      </c>
      <c r="G833" s="41"/>
      <c r="H833" s="29"/>
    </row>
    <row r="834" spans="1:8" ht="15.75" hidden="1" customHeight="1" x14ac:dyDescent="0.25">
      <c r="A834" s="330"/>
      <c r="B834" s="344"/>
      <c r="C834" s="144" t="s">
        <v>99</v>
      </c>
      <c r="D834" s="146">
        <v>0.05</v>
      </c>
      <c r="E834" s="122"/>
      <c r="G834" s="41"/>
      <c r="H834" s="29"/>
    </row>
    <row r="835" spans="1:8" ht="15.75" hidden="1" customHeight="1" x14ac:dyDescent="0.25">
      <c r="A835" s="330"/>
      <c r="B835" s="344"/>
      <c r="C835" s="144" t="s">
        <v>100</v>
      </c>
      <c r="D835" s="146">
        <v>0.2</v>
      </c>
      <c r="E835" s="122"/>
      <c r="G835" s="41"/>
      <c r="H835" s="29"/>
    </row>
    <row r="836" spans="1:8" ht="15.75" hidden="1" customHeight="1" x14ac:dyDescent="0.25">
      <c r="A836" s="330"/>
      <c r="B836" s="344"/>
      <c r="C836" s="144" t="s">
        <v>101</v>
      </c>
      <c r="D836" s="146">
        <v>0.9</v>
      </c>
      <c r="E836" s="122"/>
      <c r="G836" s="41"/>
      <c r="H836" s="29"/>
    </row>
    <row r="837" spans="1:8" ht="15.75" hidden="1" customHeight="1" x14ac:dyDescent="0.25">
      <c r="A837" s="330"/>
      <c r="B837" s="344"/>
      <c r="C837" s="124"/>
      <c r="D837" s="125" t="s">
        <v>232</v>
      </c>
      <c r="E837" s="126" t="str">
        <f>IF(E831&gt;=D834,"YES","NO")</f>
        <v>NO</v>
      </c>
      <c r="G837" s="41"/>
      <c r="H837" s="29"/>
    </row>
    <row r="838" spans="1:8" ht="15.75" hidden="1" customHeight="1" x14ac:dyDescent="0.25">
      <c r="A838" s="330"/>
      <c r="B838" s="344"/>
      <c r="C838" s="124"/>
      <c r="D838" s="125" t="s">
        <v>233</v>
      </c>
      <c r="E838" s="126" t="str">
        <f>IF(AND(E831&lt;D834,E832&gt;=D835),"YES","NO")</f>
        <v>NO</v>
      </c>
      <c r="G838" s="41"/>
      <c r="H838" s="29"/>
    </row>
    <row r="839" spans="1:8" ht="15.75" hidden="1" customHeight="1" x14ac:dyDescent="0.25">
      <c r="A839" s="330"/>
      <c r="B839" s="344"/>
      <c r="C839" s="124"/>
      <c r="D839" s="125" t="s">
        <v>234</v>
      </c>
      <c r="E839" s="126" t="str">
        <f>IF(OR(AND(E831&gt;0,E831&lt;D834,E832=0),AND(E832&gt;0,E832&lt;D835,E831=0),AND(E831&gt;0,E831&lt;D834,E832&gt;0,E832&lt;D835)),"YES","NO")</f>
        <v>YES</v>
      </c>
      <c r="G839" s="41"/>
      <c r="H839" s="29"/>
    </row>
    <row r="840" spans="1:8" ht="15.75" hidden="1" customHeight="1" x14ac:dyDescent="0.25">
      <c r="A840" s="330"/>
      <c r="B840" s="344"/>
      <c r="C840" s="124"/>
      <c r="D840" s="125" t="s">
        <v>488</v>
      </c>
      <c r="E840" s="126" t="str">
        <f>IF(AND(E831=0,E832=0,E833&gt;=D836),"YES","NO")</f>
        <v>NO</v>
      </c>
      <c r="G840" s="41"/>
      <c r="H840" s="29"/>
    </row>
    <row r="841" spans="1:8" ht="15.75" hidden="1" customHeight="1" x14ac:dyDescent="0.25">
      <c r="A841" s="330"/>
      <c r="B841" s="344"/>
      <c r="C841" s="124"/>
      <c r="D841" s="125" t="s">
        <v>489</v>
      </c>
      <c r="E841" s="148" t="str">
        <f>IF(AND(E831=0,E832=0,E833&lt;D836),"YES","NO")</f>
        <v>NO</v>
      </c>
      <c r="G841" s="41"/>
      <c r="H841" s="29"/>
    </row>
    <row r="842" spans="1:8" ht="15" customHeight="1" x14ac:dyDescent="0.25">
      <c r="A842" s="330"/>
      <c r="B842" s="414"/>
      <c r="C842" s="356" t="s">
        <v>548</v>
      </c>
      <c r="D842" s="356"/>
      <c r="E842" s="149">
        <f>IF(E837="YES",4,IF(E838="YES",3+E831/D834,IF(E839="YES",2+2*E831/D834+E832/D835-(E831*E832)/(D834*D835),IF(E840="YES",2,2*E833/D836))))</f>
        <v>2.7142857142857144</v>
      </c>
      <c r="H842" s="29"/>
    </row>
    <row r="843" spans="1:8" ht="15" customHeight="1" x14ac:dyDescent="0.25">
      <c r="A843" s="331"/>
      <c r="B843" s="415"/>
      <c r="C843" s="357" t="s">
        <v>34</v>
      </c>
      <c r="D843" s="357"/>
      <c r="E843" s="25">
        <f>IF(E819&gt;=E820,E842,E819/E820*E842)</f>
        <v>0</v>
      </c>
      <c r="G843" s="38"/>
      <c r="H843" s="29"/>
    </row>
    <row r="844" spans="1:8" ht="15.95" customHeight="1" x14ac:dyDescent="0.25">
      <c r="C844" s="39"/>
      <c r="D844" s="70"/>
      <c r="H844" s="40"/>
    </row>
    <row r="845" spans="1:8" ht="29.25" customHeight="1" x14ac:dyDescent="0.25">
      <c r="A845" s="329">
        <v>63</v>
      </c>
      <c r="B845" s="413"/>
      <c r="C845" s="416" t="s">
        <v>573</v>
      </c>
      <c r="D845" s="417"/>
      <c r="E845" s="36"/>
      <c r="H845" s="210"/>
    </row>
    <row r="846" spans="1:8" ht="14.45" customHeight="1" x14ac:dyDescent="0.25">
      <c r="A846" s="330"/>
      <c r="B846" s="414"/>
      <c r="C846" s="358" t="s">
        <v>528</v>
      </c>
      <c r="D846" s="359"/>
      <c r="E846" s="60"/>
      <c r="F846" s="8" t="s">
        <v>94</v>
      </c>
      <c r="H846" s="29"/>
    </row>
    <row r="847" spans="1:8" ht="14.45" customHeight="1" x14ac:dyDescent="0.25">
      <c r="A847" s="330"/>
      <c r="B847" s="414"/>
      <c r="C847" s="358" t="s">
        <v>529</v>
      </c>
      <c r="D847" s="359"/>
      <c r="E847" s="60"/>
      <c r="F847" s="8" t="s">
        <v>94</v>
      </c>
      <c r="H847" s="29"/>
    </row>
    <row r="848" spans="1:8" ht="14.45" customHeight="1" x14ac:dyDescent="0.25">
      <c r="A848" s="330"/>
      <c r="B848" s="414"/>
      <c r="C848" s="358" t="s">
        <v>530</v>
      </c>
      <c r="D848" s="359"/>
      <c r="E848" s="60"/>
      <c r="F848" s="8" t="s">
        <v>94</v>
      </c>
      <c r="H848" s="29"/>
    </row>
    <row r="849" spans="1:8" ht="15" customHeight="1" x14ac:dyDescent="0.25">
      <c r="A849" s="330"/>
      <c r="B849" s="414"/>
      <c r="C849" s="358" t="s">
        <v>574</v>
      </c>
      <c r="D849" s="359"/>
      <c r="E849" s="60"/>
      <c r="F849" s="8" t="s">
        <v>94</v>
      </c>
      <c r="H849" s="29"/>
    </row>
    <row r="850" spans="1:8" ht="15" customHeight="1" x14ac:dyDescent="0.25">
      <c r="A850" s="330"/>
      <c r="B850" s="414"/>
      <c r="C850" s="358" t="s">
        <v>575</v>
      </c>
      <c r="D850" s="359"/>
      <c r="E850" s="60"/>
      <c r="F850" s="8" t="s">
        <v>94</v>
      </c>
      <c r="H850" s="29"/>
    </row>
    <row r="851" spans="1:8" ht="15" customHeight="1" x14ac:dyDescent="0.25">
      <c r="A851" s="330"/>
      <c r="B851" s="414"/>
      <c r="C851" s="358" t="s">
        <v>576</v>
      </c>
      <c r="D851" s="359"/>
      <c r="E851" s="60"/>
      <c r="F851" s="8" t="s">
        <v>94</v>
      </c>
      <c r="H851" s="29"/>
    </row>
    <row r="852" spans="1:8" ht="17.100000000000001" customHeight="1" x14ac:dyDescent="0.25">
      <c r="A852" s="330"/>
      <c r="B852" s="414"/>
      <c r="C852" s="136" t="s">
        <v>534</v>
      </c>
      <c r="D852" s="137"/>
      <c r="E852" s="138">
        <f>IF(SUM(E846:E848)&gt;=300,1,2)</f>
        <v>2</v>
      </c>
      <c r="H852" s="29"/>
    </row>
    <row r="853" spans="1:8" ht="15" customHeight="1" x14ac:dyDescent="0.25">
      <c r="A853" s="330"/>
      <c r="B853" s="414"/>
      <c r="C853" s="358" t="s">
        <v>577</v>
      </c>
      <c r="D853" s="359"/>
      <c r="E853" s="79">
        <f>IF(SUM(E846:E848)&gt;0,SUM(E849:E851)/SUM(E846:E848),0)</f>
        <v>0</v>
      </c>
      <c r="H853" s="29"/>
    </row>
    <row r="854" spans="1:8" ht="18" customHeight="1" x14ac:dyDescent="0.25">
      <c r="A854" s="330"/>
      <c r="B854" s="414"/>
      <c r="C854" s="78" t="s">
        <v>536</v>
      </c>
      <c r="D854" s="77"/>
      <c r="E854" s="139">
        <f>IF(E852=1,30%,50%-SUM(E846:E848)/300*20%)</f>
        <v>0.5</v>
      </c>
      <c r="H854" s="29"/>
    </row>
    <row r="855" spans="1:8" ht="44.45" customHeight="1" x14ac:dyDescent="0.25">
      <c r="A855" s="330"/>
      <c r="B855" s="344"/>
      <c r="C855" s="352" t="s">
        <v>578</v>
      </c>
      <c r="D855" s="352"/>
      <c r="E855" s="36"/>
      <c r="H855" s="29"/>
    </row>
    <row r="856" spans="1:8" ht="15.75" customHeight="1" x14ac:dyDescent="0.25">
      <c r="A856" s="330"/>
      <c r="B856" s="344"/>
      <c r="C856" s="346" t="s">
        <v>579</v>
      </c>
      <c r="D856" s="72" t="s">
        <v>419</v>
      </c>
      <c r="E856" s="76">
        <v>0.4</v>
      </c>
      <c r="F856" s="8" t="s">
        <v>94</v>
      </c>
      <c r="H856" s="29"/>
    </row>
    <row r="857" spans="1:8" ht="15" customHeight="1" x14ac:dyDescent="0.25">
      <c r="A857" s="330"/>
      <c r="B857" s="344"/>
      <c r="C857" s="347"/>
      <c r="D857" s="72" t="s">
        <v>420</v>
      </c>
      <c r="E857" s="76">
        <v>0.35</v>
      </c>
      <c r="F857" s="8" t="s">
        <v>94</v>
      </c>
      <c r="H857" s="29"/>
    </row>
    <row r="858" spans="1:8" ht="15" customHeight="1" x14ac:dyDescent="0.25">
      <c r="A858" s="330"/>
      <c r="B858" s="344"/>
      <c r="C858" s="347"/>
      <c r="D858" s="72" t="s">
        <v>421</v>
      </c>
      <c r="E858" s="76">
        <v>0.15</v>
      </c>
      <c r="F858" s="8" t="s">
        <v>94</v>
      </c>
      <c r="H858" s="29"/>
    </row>
    <row r="859" spans="1:8" ht="15" customHeight="1" x14ac:dyDescent="0.25">
      <c r="A859" s="330"/>
      <c r="B859" s="344"/>
      <c r="C859" s="347"/>
      <c r="D859" s="72" t="s">
        <v>422</v>
      </c>
      <c r="E859" s="76">
        <v>0.1</v>
      </c>
      <c r="F859" s="8" t="s">
        <v>94</v>
      </c>
      <c r="H859" s="29"/>
    </row>
    <row r="860" spans="1:8" ht="15" customHeight="1" x14ac:dyDescent="0.25">
      <c r="A860" s="330"/>
      <c r="B860" s="344"/>
      <c r="C860" s="348"/>
      <c r="D860" s="73" t="s">
        <v>580</v>
      </c>
      <c r="E860" s="55">
        <f>IF((4*E856+3*E857+2*E858+E859)&gt;4,0,4*E856+3*E857+2*E858+E859)</f>
        <v>3.05</v>
      </c>
      <c r="H860" s="29"/>
    </row>
    <row r="861" spans="1:8" ht="15.75" customHeight="1" x14ac:dyDescent="0.25">
      <c r="A861" s="330"/>
      <c r="B861" s="344"/>
      <c r="C861" s="346" t="s">
        <v>581</v>
      </c>
      <c r="D861" s="72" t="s">
        <v>419</v>
      </c>
      <c r="E861" s="76">
        <v>0.45</v>
      </c>
      <c r="F861" s="8" t="s">
        <v>94</v>
      </c>
      <c r="H861" s="29"/>
    </row>
    <row r="862" spans="1:8" ht="15" customHeight="1" x14ac:dyDescent="0.25">
      <c r="A862" s="330"/>
      <c r="B862" s="344"/>
      <c r="C862" s="347"/>
      <c r="D862" s="72" t="s">
        <v>420</v>
      </c>
      <c r="E862" s="76">
        <v>0.3</v>
      </c>
      <c r="F862" s="8" t="s">
        <v>94</v>
      </c>
      <c r="H862" s="29"/>
    </row>
    <row r="863" spans="1:8" ht="15" customHeight="1" x14ac:dyDescent="0.25">
      <c r="A863" s="330"/>
      <c r="B863" s="344"/>
      <c r="C863" s="347"/>
      <c r="D863" s="72" t="s">
        <v>421</v>
      </c>
      <c r="E863" s="76">
        <v>0.2</v>
      </c>
      <c r="F863" s="8" t="s">
        <v>94</v>
      </c>
      <c r="H863" s="29"/>
    </row>
    <row r="864" spans="1:8" ht="15" customHeight="1" x14ac:dyDescent="0.25">
      <c r="A864" s="330"/>
      <c r="B864" s="344"/>
      <c r="C864" s="347"/>
      <c r="D864" s="72" t="s">
        <v>422</v>
      </c>
      <c r="E864" s="76">
        <v>0.05</v>
      </c>
      <c r="F864" s="8" t="s">
        <v>94</v>
      </c>
      <c r="H864" s="29"/>
    </row>
    <row r="865" spans="1:8" ht="15" customHeight="1" x14ac:dyDescent="0.25">
      <c r="A865" s="330"/>
      <c r="B865" s="344"/>
      <c r="C865" s="348"/>
      <c r="D865" s="73" t="s">
        <v>582</v>
      </c>
      <c r="E865" s="55">
        <f>IF((4*E861+3*E862+2*E863+E864)&gt;4,0,4*E861+3*E862+2*E863+E864)</f>
        <v>3.15</v>
      </c>
      <c r="H865" s="29"/>
    </row>
    <row r="866" spans="1:8" ht="15.75" customHeight="1" x14ac:dyDescent="0.25">
      <c r="A866" s="330"/>
      <c r="B866" s="344"/>
      <c r="C866" s="346" t="s">
        <v>583</v>
      </c>
      <c r="D866" s="72" t="s">
        <v>419</v>
      </c>
      <c r="E866" s="76">
        <v>0.25</v>
      </c>
      <c r="F866" s="8" t="s">
        <v>94</v>
      </c>
      <c r="H866" s="29"/>
    </row>
    <row r="867" spans="1:8" ht="15" customHeight="1" x14ac:dyDescent="0.25">
      <c r="A867" s="330"/>
      <c r="B867" s="344"/>
      <c r="C867" s="347"/>
      <c r="D867" s="72" t="s">
        <v>420</v>
      </c>
      <c r="E867" s="76">
        <v>0.4</v>
      </c>
      <c r="F867" s="8" t="s">
        <v>94</v>
      </c>
      <c r="H867" s="29"/>
    </row>
    <row r="868" spans="1:8" ht="15" customHeight="1" x14ac:dyDescent="0.25">
      <c r="A868" s="330"/>
      <c r="B868" s="344"/>
      <c r="C868" s="347"/>
      <c r="D868" s="72" t="s">
        <v>421</v>
      </c>
      <c r="E868" s="76">
        <v>0.3</v>
      </c>
      <c r="F868" s="8" t="s">
        <v>94</v>
      </c>
      <c r="H868" s="29"/>
    </row>
    <row r="869" spans="1:8" ht="15" customHeight="1" x14ac:dyDescent="0.25">
      <c r="A869" s="330"/>
      <c r="B869" s="344"/>
      <c r="C869" s="347"/>
      <c r="D869" s="72" t="s">
        <v>422</v>
      </c>
      <c r="E869" s="76">
        <v>0.05</v>
      </c>
      <c r="F869" s="8" t="s">
        <v>94</v>
      </c>
      <c r="H869" s="29"/>
    </row>
    <row r="870" spans="1:8" ht="15" customHeight="1" x14ac:dyDescent="0.25">
      <c r="A870" s="330"/>
      <c r="B870" s="344"/>
      <c r="C870" s="348"/>
      <c r="D870" s="73" t="s">
        <v>584</v>
      </c>
      <c r="E870" s="55">
        <f>IF((4*E866+3*E867+2*E868+E869)&gt;4,0,4*E866+3*E867+2*E868+E869)</f>
        <v>2.85</v>
      </c>
      <c r="H870" s="29"/>
    </row>
    <row r="871" spans="1:8" ht="15.75" customHeight="1" x14ac:dyDescent="0.25">
      <c r="A871" s="330"/>
      <c r="B871" s="344"/>
      <c r="C871" s="349" t="s">
        <v>585</v>
      </c>
      <c r="D871" s="72" t="s">
        <v>419</v>
      </c>
      <c r="E871" s="76">
        <v>0.3</v>
      </c>
      <c r="F871" s="8" t="s">
        <v>94</v>
      </c>
      <c r="H871" s="29"/>
    </row>
    <row r="872" spans="1:8" ht="15" customHeight="1" x14ac:dyDescent="0.25">
      <c r="A872" s="330"/>
      <c r="B872" s="344"/>
      <c r="C872" s="350"/>
      <c r="D872" s="72" t="s">
        <v>420</v>
      </c>
      <c r="E872" s="76">
        <v>0.35</v>
      </c>
      <c r="F872" s="8" t="s">
        <v>94</v>
      </c>
      <c r="H872" s="29"/>
    </row>
    <row r="873" spans="1:8" ht="15" customHeight="1" x14ac:dyDescent="0.25">
      <c r="A873" s="330"/>
      <c r="B873" s="344"/>
      <c r="C873" s="350"/>
      <c r="D873" s="72" t="s">
        <v>421</v>
      </c>
      <c r="E873" s="76">
        <v>0.2</v>
      </c>
      <c r="F873" s="8" t="s">
        <v>94</v>
      </c>
      <c r="H873" s="29"/>
    </row>
    <row r="874" spans="1:8" ht="15" customHeight="1" x14ac:dyDescent="0.25">
      <c r="A874" s="330"/>
      <c r="B874" s="344"/>
      <c r="C874" s="350"/>
      <c r="D874" s="72" t="s">
        <v>422</v>
      </c>
      <c r="E874" s="76">
        <v>0.15</v>
      </c>
      <c r="F874" s="8" t="s">
        <v>94</v>
      </c>
      <c r="H874" s="29"/>
    </row>
    <row r="875" spans="1:8" ht="15" customHeight="1" x14ac:dyDescent="0.25">
      <c r="A875" s="330"/>
      <c r="B875" s="344"/>
      <c r="C875" s="351"/>
      <c r="D875" s="73" t="s">
        <v>586</v>
      </c>
      <c r="E875" s="55">
        <f>IF((4*E871+3*E872+2*E873+E874)&gt;4,0,4*E871+3*E872+2*E873+E874)</f>
        <v>2.8</v>
      </c>
      <c r="H875" s="29"/>
    </row>
    <row r="876" spans="1:8" ht="15.75" customHeight="1" x14ac:dyDescent="0.25">
      <c r="A876" s="330"/>
      <c r="B876" s="344"/>
      <c r="C876" s="346" t="s">
        <v>587</v>
      </c>
      <c r="D876" s="72" t="s">
        <v>419</v>
      </c>
      <c r="E876" s="76">
        <v>0.45</v>
      </c>
      <c r="F876" s="8" t="s">
        <v>94</v>
      </c>
      <c r="H876" s="29"/>
    </row>
    <row r="877" spans="1:8" ht="15" customHeight="1" x14ac:dyDescent="0.25">
      <c r="A877" s="330"/>
      <c r="B877" s="344"/>
      <c r="C877" s="347"/>
      <c r="D877" s="72" t="s">
        <v>420</v>
      </c>
      <c r="E877" s="76">
        <v>0.3</v>
      </c>
      <c r="F877" s="8" t="s">
        <v>94</v>
      </c>
      <c r="H877" s="29"/>
    </row>
    <row r="878" spans="1:8" ht="15" customHeight="1" x14ac:dyDescent="0.25">
      <c r="A878" s="330"/>
      <c r="B878" s="344"/>
      <c r="C878" s="347"/>
      <c r="D878" s="72" t="s">
        <v>421</v>
      </c>
      <c r="E878" s="76">
        <v>0.15</v>
      </c>
      <c r="F878" s="8" t="s">
        <v>94</v>
      </c>
      <c r="H878" s="29"/>
    </row>
    <row r="879" spans="1:8" ht="15" customHeight="1" x14ac:dyDescent="0.25">
      <c r="A879" s="330"/>
      <c r="B879" s="344"/>
      <c r="C879" s="347"/>
      <c r="D879" s="72" t="s">
        <v>422</v>
      </c>
      <c r="E879" s="76">
        <v>0.1</v>
      </c>
      <c r="F879" s="8" t="s">
        <v>94</v>
      </c>
      <c r="H879" s="29"/>
    </row>
    <row r="880" spans="1:8" ht="15" customHeight="1" x14ac:dyDescent="0.25">
      <c r="A880" s="330"/>
      <c r="B880" s="344"/>
      <c r="C880" s="348"/>
      <c r="D880" s="73" t="s">
        <v>588</v>
      </c>
      <c r="E880" s="55">
        <f>IF((4*E876+3*E877+2*E878+E879)&gt;4,0,4*E876+3*E877+2*E878+E879)</f>
        <v>3.1</v>
      </c>
      <c r="H880" s="29"/>
    </row>
    <row r="881" spans="1:8" ht="15.75" customHeight="1" x14ac:dyDescent="0.25">
      <c r="A881" s="330"/>
      <c r="B881" s="344"/>
      <c r="C881" s="346" t="s">
        <v>589</v>
      </c>
      <c r="D881" s="72" t="s">
        <v>419</v>
      </c>
      <c r="E881" s="76">
        <v>0.4</v>
      </c>
      <c r="F881" s="8" t="s">
        <v>94</v>
      </c>
      <c r="H881" s="29"/>
    </row>
    <row r="882" spans="1:8" ht="15" customHeight="1" x14ac:dyDescent="0.25">
      <c r="A882" s="330"/>
      <c r="B882" s="344"/>
      <c r="C882" s="347"/>
      <c r="D882" s="72" t="s">
        <v>420</v>
      </c>
      <c r="E882" s="76">
        <v>0.35</v>
      </c>
      <c r="F882" s="8" t="s">
        <v>94</v>
      </c>
      <c r="H882" s="29"/>
    </row>
    <row r="883" spans="1:8" ht="15" customHeight="1" x14ac:dyDescent="0.25">
      <c r="A883" s="330"/>
      <c r="B883" s="344"/>
      <c r="C883" s="347"/>
      <c r="D883" s="72" t="s">
        <v>421</v>
      </c>
      <c r="E883" s="76">
        <v>0.2</v>
      </c>
      <c r="F883" s="8" t="s">
        <v>94</v>
      </c>
      <c r="H883" s="29"/>
    </row>
    <row r="884" spans="1:8" ht="15" customHeight="1" x14ac:dyDescent="0.25">
      <c r="A884" s="330"/>
      <c r="B884" s="344"/>
      <c r="C884" s="347"/>
      <c r="D884" s="72" t="s">
        <v>422</v>
      </c>
      <c r="E884" s="76">
        <v>0.05</v>
      </c>
      <c r="F884" s="8" t="s">
        <v>94</v>
      </c>
      <c r="H884" s="29"/>
    </row>
    <row r="885" spans="1:8" ht="15" customHeight="1" x14ac:dyDescent="0.25">
      <c r="A885" s="330"/>
      <c r="B885" s="344"/>
      <c r="C885" s="348"/>
      <c r="D885" s="73" t="s">
        <v>590</v>
      </c>
      <c r="E885" s="55">
        <f>IF((4*E881+3*E882+2*E883+E884)&gt;4,0,4*E881+3*E882+2*E883+E884)</f>
        <v>3.0999999999999996</v>
      </c>
      <c r="H885" s="29"/>
    </row>
    <row r="886" spans="1:8" ht="15.75" customHeight="1" x14ac:dyDescent="0.25">
      <c r="A886" s="330"/>
      <c r="B886" s="344"/>
      <c r="C886" s="349" t="s">
        <v>591</v>
      </c>
      <c r="D886" s="72" t="s">
        <v>419</v>
      </c>
      <c r="E886" s="76">
        <v>0.3</v>
      </c>
      <c r="F886" s="8" t="s">
        <v>94</v>
      </c>
      <c r="H886" s="29"/>
    </row>
    <row r="887" spans="1:8" ht="15" customHeight="1" x14ac:dyDescent="0.25">
      <c r="A887" s="330"/>
      <c r="B887" s="344"/>
      <c r="C887" s="350"/>
      <c r="D887" s="72" t="s">
        <v>420</v>
      </c>
      <c r="E887" s="76">
        <v>0.45</v>
      </c>
      <c r="F887" s="8" t="s">
        <v>94</v>
      </c>
      <c r="H887" s="29"/>
    </row>
    <row r="888" spans="1:8" ht="15" customHeight="1" x14ac:dyDescent="0.25">
      <c r="A888" s="330"/>
      <c r="B888" s="344"/>
      <c r="C888" s="350"/>
      <c r="D888" s="72" t="s">
        <v>421</v>
      </c>
      <c r="E888" s="76">
        <v>0.2</v>
      </c>
      <c r="F888" s="8" t="s">
        <v>94</v>
      </c>
      <c r="H888" s="29"/>
    </row>
    <row r="889" spans="1:8" ht="15" customHeight="1" x14ac:dyDescent="0.25">
      <c r="A889" s="330"/>
      <c r="B889" s="344"/>
      <c r="C889" s="350"/>
      <c r="D889" s="72" t="s">
        <v>422</v>
      </c>
      <c r="E889" s="76">
        <v>0.05</v>
      </c>
      <c r="F889" s="8" t="s">
        <v>94</v>
      </c>
      <c r="H889" s="29"/>
    </row>
    <row r="890" spans="1:8" ht="15" customHeight="1" x14ac:dyDescent="0.25">
      <c r="A890" s="330"/>
      <c r="B890" s="344"/>
      <c r="C890" s="351"/>
      <c r="D890" s="73" t="s">
        <v>592</v>
      </c>
      <c r="E890" s="55">
        <f>IF((4*E886+3*E887+2*E888+E889)&gt;4,0,4*E886+3*E887+2*E888+E889)</f>
        <v>2.9999999999999996</v>
      </c>
      <c r="H890" s="29"/>
    </row>
    <row r="891" spans="1:8" ht="15" customHeight="1" x14ac:dyDescent="0.25">
      <c r="A891" s="330"/>
      <c r="B891" s="344"/>
      <c r="C891" s="327" t="s">
        <v>548</v>
      </c>
      <c r="D891" s="328"/>
      <c r="E891" s="61">
        <f>(E860+E865+E870+E875+E880+E885+E890)/7</f>
        <v>3.0071428571428567</v>
      </c>
      <c r="H891" s="29"/>
    </row>
    <row r="892" spans="1:8" ht="15.95" customHeight="1" x14ac:dyDescent="0.25">
      <c r="A892" s="331"/>
      <c r="B892" s="345"/>
      <c r="C892" s="337" t="s">
        <v>34</v>
      </c>
      <c r="D892" s="338"/>
      <c r="E892" s="25">
        <f>IF(E853&gt;=E854,E891,E853/E854*E891)</f>
        <v>0</v>
      </c>
      <c r="H892" s="29"/>
    </row>
    <row r="893" spans="1:8" ht="15.95" customHeight="1" x14ac:dyDescent="0.25">
      <c r="C893" s="39"/>
      <c r="D893" s="70"/>
      <c r="H893" s="40"/>
    </row>
    <row r="894" spans="1:8" ht="65.45" customHeight="1" x14ac:dyDescent="0.25">
      <c r="A894" s="329">
        <v>64</v>
      </c>
      <c r="B894" s="343" t="s">
        <v>593</v>
      </c>
      <c r="C894" s="352" t="s">
        <v>594</v>
      </c>
      <c r="D894" s="352"/>
      <c r="E894" s="198"/>
      <c r="H894" s="210"/>
    </row>
    <row r="895" spans="1:8" ht="15" customHeight="1" x14ac:dyDescent="0.25">
      <c r="A895" s="330"/>
      <c r="B895" s="344"/>
      <c r="C895" s="327" t="s">
        <v>242</v>
      </c>
      <c r="D895" s="328"/>
      <c r="E895" s="58">
        <v>0</v>
      </c>
      <c r="F895" s="8" t="s">
        <v>94</v>
      </c>
      <c r="G895" s="37"/>
      <c r="H895" s="29"/>
    </row>
    <row r="896" spans="1:8" ht="15" customHeight="1" x14ac:dyDescent="0.25">
      <c r="A896" s="330"/>
      <c r="B896" s="344"/>
      <c r="C896" s="327" t="s">
        <v>243</v>
      </c>
      <c r="D896" s="328"/>
      <c r="E896" s="58">
        <v>0</v>
      </c>
      <c r="F896" s="8" t="s">
        <v>94</v>
      </c>
      <c r="G896" s="37"/>
      <c r="H896" s="29"/>
    </row>
    <row r="897" spans="1:8" ht="15" customHeight="1" x14ac:dyDescent="0.25">
      <c r="A897" s="330"/>
      <c r="B897" s="344"/>
      <c r="C897" s="327" t="s">
        <v>244</v>
      </c>
      <c r="D897" s="328"/>
      <c r="E897" s="58">
        <v>0</v>
      </c>
      <c r="F897" s="8" t="s">
        <v>94</v>
      </c>
      <c r="G897" s="37"/>
      <c r="H897" s="29"/>
    </row>
    <row r="898" spans="1:8" ht="15" customHeight="1" x14ac:dyDescent="0.25">
      <c r="A898" s="330"/>
      <c r="B898" s="344"/>
      <c r="C898" s="327" t="s">
        <v>245</v>
      </c>
      <c r="D898" s="328"/>
      <c r="E898" s="58">
        <v>0</v>
      </c>
      <c r="F898" s="8" t="s">
        <v>94</v>
      </c>
      <c r="G898" s="37"/>
      <c r="H898" s="29"/>
    </row>
    <row r="899" spans="1:8" ht="15" customHeight="1" x14ac:dyDescent="0.25">
      <c r="A899" s="330"/>
      <c r="B899" s="344"/>
      <c r="C899" s="327" t="s">
        <v>246</v>
      </c>
      <c r="D899" s="328"/>
      <c r="E899" s="58">
        <v>11</v>
      </c>
      <c r="F899" s="8" t="s">
        <v>94</v>
      </c>
      <c r="G899" s="37"/>
      <c r="H899" s="29"/>
    </row>
    <row r="900" spans="1:8" ht="15" customHeight="1" x14ac:dyDescent="0.25">
      <c r="A900" s="330"/>
      <c r="B900" s="344"/>
      <c r="C900" s="327" t="s">
        <v>247</v>
      </c>
      <c r="D900" s="328"/>
      <c r="E900" s="58">
        <v>14</v>
      </c>
      <c r="F900" s="8" t="s">
        <v>94</v>
      </c>
      <c r="G900" s="37"/>
      <c r="H900" s="29"/>
    </row>
    <row r="901" spans="1:8" ht="15" customHeight="1" x14ac:dyDescent="0.25">
      <c r="A901" s="330"/>
      <c r="B901" s="344"/>
      <c r="C901" s="327" t="s">
        <v>248</v>
      </c>
      <c r="D901" s="328"/>
      <c r="E901" s="58">
        <v>0</v>
      </c>
      <c r="F901" s="8" t="s">
        <v>94</v>
      </c>
      <c r="G901" s="37"/>
      <c r="H901" s="29"/>
    </row>
    <row r="902" spans="1:8" ht="15" customHeight="1" x14ac:dyDescent="0.25">
      <c r="A902" s="330"/>
      <c r="B902" s="344"/>
      <c r="C902" s="327" t="s">
        <v>249</v>
      </c>
      <c r="D902" s="328"/>
      <c r="E902" s="58">
        <v>0</v>
      </c>
      <c r="F902" s="8" t="s">
        <v>94</v>
      </c>
      <c r="G902" s="37"/>
      <c r="H902" s="29"/>
    </row>
    <row r="903" spans="1:8" ht="15" customHeight="1" x14ac:dyDescent="0.25">
      <c r="A903" s="330"/>
      <c r="B903" s="344"/>
      <c r="C903" s="327" t="s">
        <v>250</v>
      </c>
      <c r="D903" s="328"/>
      <c r="E903" s="58">
        <v>0</v>
      </c>
      <c r="F903" s="8" t="s">
        <v>94</v>
      </c>
      <c r="G903" s="37"/>
      <c r="H903" s="29"/>
    </row>
    <row r="904" spans="1:8" ht="15" customHeight="1" x14ac:dyDescent="0.25">
      <c r="A904" s="330"/>
      <c r="B904" s="344"/>
      <c r="C904" s="327" t="s">
        <v>251</v>
      </c>
      <c r="D904" s="328"/>
      <c r="E904" s="58">
        <v>0</v>
      </c>
      <c r="F904" s="8" t="s">
        <v>94</v>
      </c>
      <c r="G904" s="37"/>
      <c r="H904" s="29"/>
    </row>
    <row r="905" spans="1:8" ht="15" customHeight="1" x14ac:dyDescent="0.25">
      <c r="A905" s="330"/>
      <c r="B905" s="344"/>
      <c r="C905" s="327" t="s">
        <v>595</v>
      </c>
      <c r="D905" s="328"/>
      <c r="E905" s="58">
        <v>218</v>
      </c>
      <c r="F905" s="8" t="s">
        <v>94</v>
      </c>
      <c r="G905" s="37"/>
      <c r="H905" s="29"/>
    </row>
    <row r="906" spans="1:8" ht="15" customHeight="1" x14ac:dyDescent="0.25">
      <c r="A906" s="330"/>
      <c r="B906" s="344"/>
      <c r="C906" s="327" t="s">
        <v>252</v>
      </c>
      <c r="D906" s="328"/>
      <c r="E906" s="188">
        <f>IF(E905&gt;0,(E898+E901+E904)/E905,0)</f>
        <v>0</v>
      </c>
      <c r="G906" s="41"/>
      <c r="H906" s="29"/>
    </row>
    <row r="907" spans="1:8" ht="15.75" customHeight="1" x14ac:dyDescent="0.25">
      <c r="A907" s="330"/>
      <c r="B907" s="344"/>
      <c r="C907" s="327" t="s">
        <v>253</v>
      </c>
      <c r="D907" s="328"/>
      <c r="E907" s="188">
        <f>IF(E905&gt;0,(E896+E897+E900+E903)/E905,0)</f>
        <v>6.4220183486238536E-2</v>
      </c>
      <c r="G907" s="41"/>
      <c r="H907" s="29"/>
    </row>
    <row r="908" spans="1:8" ht="15.75" customHeight="1" x14ac:dyDescent="0.25">
      <c r="A908" s="330"/>
      <c r="B908" s="344"/>
      <c r="C908" s="327" t="s">
        <v>254</v>
      </c>
      <c r="D908" s="328"/>
      <c r="E908" s="188">
        <f>IF(E905&gt;0,(E895+E899+E902)/E905,0)</f>
        <v>5.0458715596330278E-2</v>
      </c>
      <c r="G908" s="41"/>
      <c r="H908" s="29"/>
    </row>
    <row r="909" spans="1:8" ht="15.75" hidden="1" customHeight="1" x14ac:dyDescent="0.25">
      <c r="A909" s="330"/>
      <c r="B909" s="344"/>
      <c r="C909" s="170" t="s">
        <v>99</v>
      </c>
      <c r="D909" s="203">
        <v>0.01</v>
      </c>
      <c r="E909" s="122"/>
      <c r="G909" s="41"/>
      <c r="H909" s="29"/>
    </row>
    <row r="910" spans="1:8" ht="15.75" hidden="1" customHeight="1" x14ac:dyDescent="0.25">
      <c r="A910" s="330"/>
      <c r="B910" s="344"/>
      <c r="C910" s="170" t="s">
        <v>100</v>
      </c>
      <c r="D910" s="203">
        <v>0.1</v>
      </c>
      <c r="E910" s="122"/>
      <c r="G910" s="41"/>
      <c r="H910" s="29"/>
    </row>
    <row r="911" spans="1:8" ht="15.75" hidden="1" customHeight="1" x14ac:dyDescent="0.25">
      <c r="A911" s="330"/>
      <c r="B911" s="344"/>
      <c r="C911" s="170" t="s">
        <v>101</v>
      </c>
      <c r="D911" s="203">
        <v>0.5</v>
      </c>
      <c r="E911" s="122"/>
      <c r="G911" s="41"/>
      <c r="H911" s="29"/>
    </row>
    <row r="912" spans="1:8" ht="15.75" hidden="1" customHeight="1" x14ac:dyDescent="0.25">
      <c r="A912" s="330"/>
      <c r="B912" s="344"/>
      <c r="C912" s="124"/>
      <c r="D912" s="125" t="s">
        <v>232</v>
      </c>
      <c r="E912" s="126" t="str">
        <f>IF(E906&gt;=D909,"YES","NO")</f>
        <v>NO</v>
      </c>
      <c r="G912" s="41"/>
      <c r="H912" s="29"/>
    </row>
    <row r="913" spans="1:8" ht="15.75" hidden="1" customHeight="1" x14ac:dyDescent="0.25">
      <c r="A913" s="330"/>
      <c r="B913" s="344"/>
      <c r="C913" s="124"/>
      <c r="D913" s="125" t="s">
        <v>233</v>
      </c>
      <c r="E913" s="126" t="str">
        <f>IF(AND(E906&lt;D909,E907&gt;=D910),"YES","NO")</f>
        <v>NO</v>
      </c>
      <c r="G913" s="41"/>
      <c r="H913" s="29"/>
    </row>
    <row r="914" spans="1:8" ht="15.75" hidden="1" customHeight="1" x14ac:dyDescent="0.25">
      <c r="A914" s="330"/>
      <c r="B914" s="344"/>
      <c r="C914" s="124"/>
      <c r="D914" s="125" t="s">
        <v>234</v>
      </c>
      <c r="E914" s="126" t="str">
        <f>IF(OR(AND(E906&gt;0,E906&lt;D909,E907=0),AND(E907&gt;0,E907&lt;D910,E906=0),AND(E906&gt;0,E906&lt;D909,E907&gt;0,E907&lt;D910)),"YES","NO")</f>
        <v>YES</v>
      </c>
      <c r="G914" s="41"/>
      <c r="H914" s="29"/>
    </row>
    <row r="915" spans="1:8" ht="15.75" hidden="1" customHeight="1" x14ac:dyDescent="0.25">
      <c r="A915" s="330"/>
      <c r="B915" s="344"/>
      <c r="C915" s="124"/>
      <c r="D915" s="125" t="s">
        <v>235</v>
      </c>
      <c r="E915" s="126" t="str">
        <f>IF(AND(E906=0,E907=0,E908&gt;=D911),"YES","NO")</f>
        <v>NO</v>
      </c>
      <c r="G915" s="41"/>
      <c r="H915" s="29"/>
    </row>
    <row r="916" spans="1:8" ht="15.75" hidden="1" customHeight="1" x14ac:dyDescent="0.25">
      <c r="A916" s="330"/>
      <c r="B916" s="344"/>
      <c r="C916" s="124"/>
      <c r="D916" s="125" t="s">
        <v>236</v>
      </c>
      <c r="E916" s="126" t="str">
        <f>IF(AND(E906=0,E907=0,E908&lt;D911),"YES","NO")</f>
        <v>NO</v>
      </c>
      <c r="G916" s="41"/>
      <c r="H916" s="29"/>
    </row>
    <row r="917" spans="1:8" ht="15" customHeight="1" x14ac:dyDescent="0.25">
      <c r="A917" s="331"/>
      <c r="B917" s="345"/>
      <c r="C917" s="341" t="s">
        <v>34</v>
      </c>
      <c r="D917" s="342"/>
      <c r="E917" s="192">
        <f>IF(E912="YES",4,IF(E913="YES",3+E906/D909,IF(E914="YES",2+2*E906/D909+E907/D910-(E906*E907)/(D909*D910),IF(E915="YES",2,2*E908/D911))))</f>
        <v>2.6422018348623855</v>
      </c>
      <c r="G917" s="38"/>
      <c r="H917" s="29"/>
    </row>
    <row r="918" spans="1:8" ht="15.95" customHeight="1" x14ac:dyDescent="0.25">
      <c r="C918" s="39"/>
      <c r="D918" s="70"/>
      <c r="H918" s="40"/>
    </row>
    <row r="919" spans="1:8" ht="50.45" hidden="1" customHeight="1" x14ac:dyDescent="0.25">
      <c r="A919" s="376"/>
      <c r="B919" s="360"/>
      <c r="C919" s="422"/>
      <c r="D919" s="422"/>
      <c r="E919" s="100"/>
      <c r="H919" s="210"/>
    </row>
    <row r="920" spans="1:8" ht="15" hidden="1" customHeight="1" x14ac:dyDescent="0.25">
      <c r="A920" s="377"/>
      <c r="B920" s="361"/>
      <c r="C920" s="423"/>
      <c r="D920" s="424"/>
      <c r="E920" s="95"/>
      <c r="G920" s="37"/>
      <c r="H920" s="29"/>
    </row>
    <row r="921" spans="1:8" ht="15" hidden="1" customHeight="1" x14ac:dyDescent="0.25">
      <c r="A921" s="377"/>
      <c r="B921" s="361"/>
      <c r="C921" s="124"/>
      <c r="D921" s="125"/>
      <c r="E921" s="204"/>
      <c r="G921" s="37"/>
      <c r="H921" s="29"/>
    </row>
    <row r="922" spans="1:8" ht="15" hidden="1" customHeight="1" x14ac:dyDescent="0.25">
      <c r="A922" s="378"/>
      <c r="B922" s="362"/>
      <c r="C922" s="325"/>
      <c r="D922" s="326"/>
      <c r="E922" s="97"/>
      <c r="G922" s="38"/>
      <c r="H922" s="29"/>
    </row>
    <row r="923" spans="1:8" ht="15" hidden="1" customHeight="1" x14ac:dyDescent="0.25">
      <c r="C923" s="39"/>
      <c r="D923" s="70"/>
      <c r="H923" s="40"/>
    </row>
    <row r="924" spans="1:8" ht="63.75" hidden="1" customHeight="1" x14ac:dyDescent="0.25">
      <c r="A924" s="376"/>
      <c r="B924" s="360"/>
      <c r="C924" s="363"/>
      <c r="D924" s="363"/>
      <c r="E924" s="194"/>
      <c r="H924" s="210"/>
    </row>
    <row r="925" spans="1:8" ht="34.35" hidden="1" customHeight="1" x14ac:dyDescent="0.25">
      <c r="A925" s="377"/>
      <c r="B925" s="361"/>
      <c r="C925" s="367"/>
      <c r="D925" s="368"/>
      <c r="E925" s="195"/>
      <c r="G925" s="37"/>
      <c r="H925" s="29"/>
    </row>
    <row r="926" spans="1:8" ht="14.45" hidden="1" customHeight="1" x14ac:dyDescent="0.25">
      <c r="A926" s="377"/>
      <c r="B926" s="361"/>
      <c r="C926" s="201"/>
      <c r="D926" s="202"/>
      <c r="E926" s="205"/>
      <c r="G926" s="37"/>
      <c r="H926" s="29"/>
    </row>
    <row r="927" spans="1:8" ht="15" hidden="1" customHeight="1" x14ac:dyDescent="0.25">
      <c r="A927" s="378"/>
      <c r="B927" s="362"/>
      <c r="C927" s="379"/>
      <c r="D927" s="380"/>
      <c r="E927" s="206"/>
      <c r="G927" s="38"/>
      <c r="H927" s="29"/>
    </row>
    <row r="928" spans="1:8" ht="15" hidden="1" customHeight="1" x14ac:dyDescent="0.25">
      <c r="C928" s="39"/>
      <c r="D928" s="70"/>
      <c r="H928" s="40"/>
    </row>
    <row r="929" spans="1:8" ht="48.75" customHeight="1" x14ac:dyDescent="0.25">
      <c r="A929" s="329">
        <v>65</v>
      </c>
      <c r="B929" s="343"/>
      <c r="C929" s="352" t="s">
        <v>596</v>
      </c>
      <c r="D929" s="352"/>
      <c r="E929" s="101"/>
      <c r="H929" s="210"/>
    </row>
    <row r="930" spans="1:8" ht="29.25" customHeight="1" x14ac:dyDescent="0.25">
      <c r="A930" s="330"/>
      <c r="B930" s="344"/>
      <c r="C930" s="327" t="s">
        <v>259</v>
      </c>
      <c r="D930" s="328"/>
      <c r="E930" s="58">
        <v>0</v>
      </c>
      <c r="F930" s="8" t="s">
        <v>94</v>
      </c>
      <c r="G930" s="37"/>
      <c r="H930" s="29"/>
    </row>
    <row r="931" spans="1:8" ht="44.25" customHeight="1" x14ac:dyDescent="0.25">
      <c r="A931" s="330"/>
      <c r="B931" s="344"/>
      <c r="C931" s="327" t="s">
        <v>260</v>
      </c>
      <c r="D931" s="328"/>
      <c r="E931" s="58">
        <v>0</v>
      </c>
      <c r="F931" s="8" t="s">
        <v>94</v>
      </c>
      <c r="G931" s="37"/>
      <c r="H931" s="29"/>
    </row>
    <row r="932" spans="1:8" ht="43.5" customHeight="1" x14ac:dyDescent="0.25">
      <c r="A932" s="330"/>
      <c r="B932" s="344"/>
      <c r="C932" s="327" t="s">
        <v>261</v>
      </c>
      <c r="D932" s="328"/>
      <c r="E932" s="58">
        <v>0</v>
      </c>
      <c r="F932" s="8" t="s">
        <v>94</v>
      </c>
      <c r="G932" s="37"/>
      <c r="H932" s="29"/>
    </row>
    <row r="933" spans="1:8" ht="29.25" customHeight="1" x14ac:dyDescent="0.25">
      <c r="A933" s="330"/>
      <c r="B933" s="344"/>
      <c r="C933" s="327" t="s">
        <v>262</v>
      </c>
      <c r="D933" s="328"/>
      <c r="E933" s="58">
        <v>0</v>
      </c>
      <c r="F933" s="8" t="s">
        <v>94</v>
      </c>
      <c r="G933" s="37"/>
      <c r="H933" s="29"/>
    </row>
    <row r="934" spans="1:8" ht="15" customHeight="1" x14ac:dyDescent="0.25">
      <c r="A934" s="330"/>
      <c r="B934" s="344"/>
      <c r="C934" s="327" t="s">
        <v>597</v>
      </c>
      <c r="D934" s="328"/>
      <c r="E934" s="99">
        <f>2*(E930+E931+E932)+E933</f>
        <v>0</v>
      </c>
      <c r="G934" s="37"/>
      <c r="H934" s="29"/>
    </row>
    <row r="935" spans="1:8" ht="14.45" hidden="1" customHeight="1" x14ac:dyDescent="0.25">
      <c r="A935" s="330"/>
      <c r="B935" s="344"/>
      <c r="C935" s="124" t="s">
        <v>152</v>
      </c>
      <c r="D935" s="125">
        <v>1</v>
      </c>
      <c r="E935" s="193"/>
      <c r="G935" s="37"/>
      <c r="H935" s="29"/>
    </row>
    <row r="936" spans="1:8" ht="15.95" customHeight="1" x14ac:dyDescent="0.25">
      <c r="A936" s="331"/>
      <c r="B936" s="345"/>
      <c r="C936" s="341" t="s">
        <v>34</v>
      </c>
      <c r="D936" s="342"/>
      <c r="E936" s="192">
        <f>IF(E934&gt;=D935,4,2+2/D935*E934)</f>
        <v>2</v>
      </c>
      <c r="G936" s="38"/>
      <c r="H936" s="29"/>
    </row>
    <row r="937" spans="1:8" ht="15.95" customHeight="1" x14ac:dyDescent="0.25">
      <c r="C937" s="39"/>
      <c r="D937" s="70"/>
      <c r="H937" s="40"/>
    </row>
    <row r="938" spans="1:8" ht="50.25" customHeight="1" x14ac:dyDescent="0.25">
      <c r="A938" s="329">
        <v>66</v>
      </c>
      <c r="B938" s="332" t="s">
        <v>598</v>
      </c>
      <c r="C938" s="335" t="s">
        <v>599</v>
      </c>
      <c r="D938" s="336"/>
      <c r="E938" s="21"/>
      <c r="F938" s="8" t="str">
        <f>IF(OR(ISBLANK(E938),E938&gt;4),"Salah isi","judge")</f>
        <v>Salah isi</v>
      </c>
      <c r="H938" s="210"/>
    </row>
    <row r="939" spans="1:8" ht="159.94999999999999" customHeight="1" x14ac:dyDescent="0.25">
      <c r="A939" s="330"/>
      <c r="B939" s="333"/>
      <c r="C939" s="22">
        <v>4</v>
      </c>
      <c r="D939" s="62" t="s">
        <v>600</v>
      </c>
      <c r="E939" s="23"/>
      <c r="H939" s="29"/>
    </row>
    <row r="940" spans="1:8" ht="176.1" customHeight="1" x14ac:dyDescent="0.25">
      <c r="A940" s="330"/>
      <c r="B940" s="333"/>
      <c r="C940" s="22">
        <v>3</v>
      </c>
      <c r="D940" s="62" t="s">
        <v>601</v>
      </c>
      <c r="E940" s="23"/>
      <c r="H940" s="29"/>
    </row>
    <row r="941" spans="1:8" ht="128.1" customHeight="1" x14ac:dyDescent="0.25">
      <c r="A941" s="330"/>
      <c r="B941" s="333"/>
      <c r="C941" s="22">
        <v>2</v>
      </c>
      <c r="D941" s="62" t="s">
        <v>602</v>
      </c>
      <c r="E941" s="23"/>
      <c r="H941" s="29"/>
    </row>
    <row r="942" spans="1:8" ht="144" customHeight="1" x14ac:dyDescent="0.25">
      <c r="A942" s="330"/>
      <c r="B942" s="333"/>
      <c r="C942" s="22">
        <v>1</v>
      </c>
      <c r="D942" s="62" t="s">
        <v>603</v>
      </c>
      <c r="E942" s="23"/>
      <c r="H942" s="29"/>
    </row>
    <row r="943" spans="1:8" ht="15.95" customHeight="1" x14ac:dyDescent="0.25">
      <c r="A943" s="330"/>
      <c r="B943" s="333"/>
      <c r="C943" s="22">
        <v>0</v>
      </c>
      <c r="D943" s="62" t="s">
        <v>604</v>
      </c>
      <c r="E943" s="24"/>
      <c r="H943" s="29"/>
    </row>
    <row r="944" spans="1:8" ht="15" customHeight="1" x14ac:dyDescent="0.25">
      <c r="A944" s="331"/>
      <c r="B944" s="334"/>
      <c r="C944" s="337" t="s">
        <v>34</v>
      </c>
      <c r="D944" s="338"/>
      <c r="E944" s="25">
        <f>IF(F938="Salah isi",0,E938)</f>
        <v>0</v>
      </c>
      <c r="H944" s="29"/>
    </row>
    <row r="945" spans="1:8" ht="15" customHeight="1" x14ac:dyDescent="0.25">
      <c r="A945" s="26"/>
      <c r="B945" s="26"/>
      <c r="C945" s="27"/>
      <c r="D945" s="64"/>
      <c r="E945" s="28"/>
      <c r="H945" s="29"/>
    </row>
    <row r="946" spans="1:8" ht="50.25" customHeight="1" x14ac:dyDescent="0.25">
      <c r="A946" s="329">
        <v>67</v>
      </c>
      <c r="B946" s="332" t="s">
        <v>605</v>
      </c>
      <c r="C946" s="335" t="s">
        <v>606</v>
      </c>
      <c r="D946" s="336"/>
      <c r="E946" s="21"/>
      <c r="F946" s="8" t="str">
        <f>IF(OR(ISBLANK(E946),E946&gt;4),"Salah isi","judge")</f>
        <v>Salah isi</v>
      </c>
      <c r="H946" s="210"/>
    </row>
    <row r="947" spans="1:8" ht="128.1" customHeight="1" x14ac:dyDescent="0.25">
      <c r="A947" s="330"/>
      <c r="B947" s="333"/>
      <c r="C947" s="22">
        <v>4</v>
      </c>
      <c r="D947" s="62" t="s">
        <v>607</v>
      </c>
      <c r="E947" s="23"/>
      <c r="H947" s="29"/>
    </row>
    <row r="948" spans="1:8" ht="111.95" customHeight="1" x14ac:dyDescent="0.25">
      <c r="A948" s="330"/>
      <c r="B948" s="333"/>
      <c r="C948" s="22">
        <v>3</v>
      </c>
      <c r="D948" s="62" t="s">
        <v>608</v>
      </c>
      <c r="E948" s="23"/>
      <c r="H948" s="29"/>
    </row>
    <row r="949" spans="1:8" ht="96" customHeight="1" x14ac:dyDescent="0.25">
      <c r="A949" s="330"/>
      <c r="B949" s="333"/>
      <c r="C949" s="22">
        <v>2</v>
      </c>
      <c r="D949" s="62" t="s">
        <v>609</v>
      </c>
      <c r="E949" s="23"/>
      <c r="H949" s="29"/>
    </row>
    <row r="950" spans="1:8" ht="96" customHeight="1" x14ac:dyDescent="0.25">
      <c r="A950" s="330"/>
      <c r="B950" s="333"/>
      <c r="C950" s="22">
        <v>1</v>
      </c>
      <c r="D950" s="62" t="s">
        <v>610</v>
      </c>
      <c r="E950" s="23"/>
      <c r="H950" s="29"/>
    </row>
    <row r="951" spans="1:8" ht="15.95" customHeight="1" x14ac:dyDescent="0.25">
      <c r="A951" s="330"/>
      <c r="B951" s="333"/>
      <c r="C951" s="22">
        <v>0</v>
      </c>
      <c r="D951" s="62" t="s">
        <v>611</v>
      </c>
      <c r="E951" s="24"/>
      <c r="H951" s="29"/>
    </row>
    <row r="952" spans="1:8" ht="15" customHeight="1" x14ac:dyDescent="0.25">
      <c r="A952" s="331"/>
      <c r="B952" s="334"/>
      <c r="C952" s="337" t="s">
        <v>34</v>
      </c>
      <c r="D952" s="338"/>
      <c r="E952" s="25">
        <f>IF(F946="Salah isi",0,E946)</f>
        <v>0</v>
      </c>
      <c r="H952" s="29"/>
    </row>
    <row r="953" spans="1:8" ht="15.95" customHeight="1" x14ac:dyDescent="0.25">
      <c r="H953" s="215"/>
    </row>
    <row r="954" spans="1:8" ht="50.25" customHeight="1" x14ac:dyDescent="0.25">
      <c r="A954" s="329">
        <v>68</v>
      </c>
      <c r="B954" s="332" t="s">
        <v>612</v>
      </c>
      <c r="C954" s="335" t="s">
        <v>613</v>
      </c>
      <c r="D954" s="336"/>
      <c r="E954" s="21"/>
      <c r="F954" s="8" t="str">
        <f>IF(OR(ISBLANK(E954),E954&gt;4),"Salah isi","judge")</f>
        <v>Salah isi</v>
      </c>
      <c r="H954" s="210"/>
    </row>
    <row r="955" spans="1:8" ht="128.1" customHeight="1" x14ac:dyDescent="0.25">
      <c r="A955" s="330"/>
      <c r="B955" s="333"/>
      <c r="C955" s="22">
        <v>4</v>
      </c>
      <c r="D955" s="62" t="s">
        <v>614</v>
      </c>
      <c r="E955" s="23"/>
      <c r="H955" s="29"/>
    </row>
    <row r="956" spans="1:8" ht="111.95" customHeight="1" x14ac:dyDescent="0.25">
      <c r="A956" s="330"/>
      <c r="B956" s="333"/>
      <c r="C956" s="22">
        <v>3</v>
      </c>
      <c r="D956" s="62" t="s">
        <v>615</v>
      </c>
      <c r="E956" s="23"/>
      <c r="H956" s="29"/>
    </row>
    <row r="957" spans="1:8" ht="96" customHeight="1" x14ac:dyDescent="0.25">
      <c r="A957" s="330"/>
      <c r="B957" s="333"/>
      <c r="C957" s="22">
        <v>2</v>
      </c>
      <c r="D957" s="62" t="s">
        <v>616</v>
      </c>
      <c r="E957" s="23"/>
      <c r="H957" s="29"/>
    </row>
    <row r="958" spans="1:8" ht="80.099999999999994" customHeight="1" x14ac:dyDescent="0.25">
      <c r="A958" s="330"/>
      <c r="B958" s="333"/>
      <c r="C958" s="22">
        <v>1</v>
      </c>
      <c r="D958" s="62" t="s">
        <v>617</v>
      </c>
      <c r="E958" s="23"/>
      <c r="H958" s="29"/>
    </row>
    <row r="959" spans="1:8" ht="15.95" customHeight="1" x14ac:dyDescent="0.25">
      <c r="A959" s="330"/>
      <c r="B959" s="333"/>
      <c r="C959" s="22">
        <v>0</v>
      </c>
      <c r="D959" s="62" t="s">
        <v>618</v>
      </c>
      <c r="E959" s="24"/>
      <c r="H959" s="29"/>
    </row>
    <row r="960" spans="1:8" ht="15" customHeight="1" x14ac:dyDescent="0.25">
      <c r="A960" s="331"/>
      <c r="B960" s="334"/>
      <c r="C960" s="337" t="s">
        <v>34</v>
      </c>
      <c r="D960" s="338"/>
      <c r="E960" s="25">
        <f>IF(F954="Salah isi",0,E954)</f>
        <v>0</v>
      </c>
      <c r="H960" s="29"/>
    </row>
    <row r="961" spans="1:8" ht="15.95" customHeight="1" x14ac:dyDescent="0.25">
      <c r="H961" s="215"/>
    </row>
    <row r="962" spans="1:8" ht="50.25" customHeight="1" x14ac:dyDescent="0.25">
      <c r="A962" s="329">
        <v>69</v>
      </c>
      <c r="B962" s="332" t="s">
        <v>619</v>
      </c>
      <c r="C962" s="335" t="s">
        <v>620</v>
      </c>
      <c r="D962" s="336"/>
      <c r="E962" s="21"/>
      <c r="F962" s="8" t="str">
        <f>IF(OR(ISBLANK(E962),E962&gt;4),"Salah isi","judge")</f>
        <v>Salah isi</v>
      </c>
      <c r="H962" s="210"/>
    </row>
    <row r="963" spans="1:8" ht="96" customHeight="1" x14ac:dyDescent="0.25">
      <c r="A963" s="330"/>
      <c r="B963" s="333"/>
      <c r="C963" s="22">
        <v>4</v>
      </c>
      <c r="D963" s="62" t="s">
        <v>621</v>
      </c>
      <c r="E963" s="23"/>
      <c r="H963" s="216"/>
    </row>
    <row r="964" spans="1:8" ht="80.099999999999994" customHeight="1" x14ac:dyDescent="0.25">
      <c r="A964" s="330"/>
      <c r="B964" s="333"/>
      <c r="C964" s="22">
        <v>3</v>
      </c>
      <c r="D964" s="62" t="s">
        <v>622</v>
      </c>
      <c r="E964" s="23"/>
      <c r="H964" s="216"/>
    </row>
    <row r="965" spans="1:8" ht="80.099999999999994" customHeight="1" x14ac:dyDescent="0.25">
      <c r="A965" s="330"/>
      <c r="B965" s="333"/>
      <c r="C965" s="22">
        <v>2</v>
      </c>
      <c r="D965" s="62" t="s">
        <v>623</v>
      </c>
      <c r="E965" s="23"/>
      <c r="H965" s="216"/>
    </row>
    <row r="966" spans="1:8" ht="32.1" customHeight="1" x14ac:dyDescent="0.25">
      <c r="A966" s="330"/>
      <c r="B966" s="333"/>
      <c r="C966" s="22">
        <v>1</v>
      </c>
      <c r="D966" s="62" t="s">
        <v>624</v>
      </c>
      <c r="E966" s="23"/>
      <c r="H966" s="216"/>
    </row>
    <row r="967" spans="1:8" ht="32.1" customHeight="1" x14ac:dyDescent="0.25">
      <c r="A967" s="330"/>
      <c r="B967" s="333"/>
      <c r="C967" s="22">
        <v>0</v>
      </c>
      <c r="D967" s="62" t="s">
        <v>625</v>
      </c>
      <c r="E967" s="24"/>
      <c r="H967" s="216"/>
    </row>
    <row r="968" spans="1:8" ht="15" customHeight="1" x14ac:dyDescent="0.25">
      <c r="A968" s="331"/>
      <c r="B968" s="334"/>
      <c r="C968" s="337" t="s">
        <v>34</v>
      </c>
      <c r="D968" s="338"/>
      <c r="E968" s="25">
        <f>IF(F962="Salah isi",0,E962)</f>
        <v>0</v>
      </c>
      <c r="H968" s="216"/>
    </row>
  </sheetData>
  <sheetProtection formatCells="0" formatColumns="0" formatRows="0" insertColumns="0" insertRows="0" insertHyperlinks="0" deleteColumns="0" deleteRows="0" sort="0" autoFilter="0" pivotTables="0"/>
  <mergeCells count="576">
    <mergeCell ref="C690:D690"/>
    <mergeCell ref="C691:D691"/>
    <mergeCell ref="C654:D654"/>
    <mergeCell ref="C713:D713"/>
    <mergeCell ref="C708:D708"/>
    <mergeCell ref="C709:D709"/>
    <mergeCell ref="C711:D711"/>
    <mergeCell ref="C712:D712"/>
    <mergeCell ref="C660:D660"/>
    <mergeCell ref="C661:D661"/>
    <mergeCell ref="C662:D662"/>
    <mergeCell ref="C641:D641"/>
    <mergeCell ref="C642:D642"/>
    <mergeCell ref="C643:D643"/>
    <mergeCell ref="C644:D644"/>
    <mergeCell ref="C646:D646"/>
    <mergeCell ref="C674:D674"/>
    <mergeCell ref="C675:D675"/>
    <mergeCell ref="C684:D684"/>
    <mergeCell ref="C689:D689"/>
    <mergeCell ref="C692:D692"/>
    <mergeCell ref="C693:D693"/>
    <mergeCell ref="C702:D702"/>
    <mergeCell ref="C764:C766"/>
    <mergeCell ref="C767:C769"/>
    <mergeCell ref="C886:C890"/>
    <mergeCell ref="C891:D891"/>
    <mergeCell ref="C892:D892"/>
    <mergeCell ref="A919:A922"/>
    <mergeCell ref="B919:B922"/>
    <mergeCell ref="C919:D919"/>
    <mergeCell ref="C920:D920"/>
    <mergeCell ref="B845:B892"/>
    <mergeCell ref="C845:D845"/>
    <mergeCell ref="C846:D846"/>
    <mergeCell ref="C847:D847"/>
    <mergeCell ref="C848:D848"/>
    <mergeCell ref="C721:D721"/>
    <mergeCell ref="C725:D725"/>
    <mergeCell ref="B929:B936"/>
    <mergeCell ref="C929:D929"/>
    <mergeCell ref="C930:D930"/>
    <mergeCell ref="C931:D931"/>
    <mergeCell ref="C932:D932"/>
    <mergeCell ref="C933:D933"/>
    <mergeCell ref="C934:D934"/>
    <mergeCell ref="C936:D936"/>
    <mergeCell ref="A924:A927"/>
    <mergeCell ref="B924:B927"/>
    <mergeCell ref="C924:D924"/>
    <mergeCell ref="C925:D925"/>
    <mergeCell ref="C927:D927"/>
    <mergeCell ref="C753:D753"/>
    <mergeCell ref="C754:D754"/>
    <mergeCell ref="C755:D755"/>
    <mergeCell ref="C756:D756"/>
    <mergeCell ref="C757:D757"/>
    <mergeCell ref="C758:D758"/>
    <mergeCell ref="C759:D759"/>
    <mergeCell ref="C761:D761"/>
    <mergeCell ref="C763:D763"/>
    <mergeCell ref="B733:B743"/>
    <mergeCell ref="A745:A751"/>
    <mergeCell ref="B745:B751"/>
    <mergeCell ref="A668:A684"/>
    <mergeCell ref="A753:A781"/>
    <mergeCell ref="B753:B781"/>
    <mergeCell ref="C791:D791"/>
    <mergeCell ref="C793:D793"/>
    <mergeCell ref="C794:C796"/>
    <mergeCell ref="C783:D783"/>
    <mergeCell ref="C784:D784"/>
    <mergeCell ref="C785:D785"/>
    <mergeCell ref="C733:D733"/>
    <mergeCell ref="C734:D734"/>
    <mergeCell ref="C735:D735"/>
    <mergeCell ref="C736:D736"/>
    <mergeCell ref="C739:D739"/>
    <mergeCell ref="C743:D743"/>
    <mergeCell ref="C710:D710"/>
    <mergeCell ref="C745:D745"/>
    <mergeCell ref="C786:D786"/>
    <mergeCell ref="C787:D787"/>
    <mergeCell ref="C788:D788"/>
    <mergeCell ref="C789:D789"/>
    <mergeCell ref="E493:E494"/>
    <mergeCell ref="A704:A716"/>
    <mergeCell ref="B704:B716"/>
    <mergeCell ref="C704:D704"/>
    <mergeCell ref="C705:D705"/>
    <mergeCell ref="C706:D706"/>
    <mergeCell ref="C707:D707"/>
    <mergeCell ref="A686:A702"/>
    <mergeCell ref="B686:B702"/>
    <mergeCell ref="C686:D686"/>
    <mergeCell ref="C687:D687"/>
    <mergeCell ref="C688:D688"/>
    <mergeCell ref="A619:A624"/>
    <mergeCell ref="B619:B624"/>
    <mergeCell ref="C619:D619"/>
    <mergeCell ref="C510:D510"/>
    <mergeCell ref="C511:D511"/>
    <mergeCell ref="C512:D512"/>
    <mergeCell ref="C514:D514"/>
    <mergeCell ref="B668:B684"/>
    <mergeCell ref="C588:C592"/>
    <mergeCell ref="C593:C597"/>
    <mergeCell ref="C598:D598"/>
    <mergeCell ref="C601:D601"/>
    <mergeCell ref="A656:A666"/>
    <mergeCell ref="B656:B666"/>
    <mergeCell ref="C656:D656"/>
    <mergeCell ref="C657:D657"/>
    <mergeCell ref="C658:D658"/>
    <mergeCell ref="A633:A639"/>
    <mergeCell ref="B633:B639"/>
    <mergeCell ref="A463:A475"/>
    <mergeCell ref="B463:B475"/>
    <mergeCell ref="C463:D463"/>
    <mergeCell ref="C469:D469"/>
    <mergeCell ref="C475:D475"/>
    <mergeCell ref="A611:A617"/>
    <mergeCell ref="B611:B617"/>
    <mergeCell ref="C611:D611"/>
    <mergeCell ref="C617:D617"/>
    <mergeCell ref="D493:D494"/>
    <mergeCell ref="C602:D602"/>
    <mergeCell ref="A626:A631"/>
    <mergeCell ref="A641:A646"/>
    <mergeCell ref="B641:B646"/>
    <mergeCell ref="C620:D620"/>
    <mergeCell ref="C621:D621"/>
    <mergeCell ref="C659:D659"/>
    <mergeCell ref="A718:A731"/>
    <mergeCell ref="A811:A843"/>
    <mergeCell ref="B811:B843"/>
    <mergeCell ref="C811:D811"/>
    <mergeCell ref="C812:D812"/>
    <mergeCell ref="C813:D813"/>
    <mergeCell ref="C814:D814"/>
    <mergeCell ref="C815:D815"/>
    <mergeCell ref="C825:C827"/>
    <mergeCell ref="C828:C830"/>
    <mergeCell ref="C831:D831"/>
    <mergeCell ref="C817:D817"/>
    <mergeCell ref="C819:D819"/>
    <mergeCell ref="C821:D821"/>
    <mergeCell ref="C822:C824"/>
    <mergeCell ref="C809:D809"/>
    <mergeCell ref="B718:B731"/>
    <mergeCell ref="C718:D718"/>
    <mergeCell ref="C719:D719"/>
    <mergeCell ref="C807:D807"/>
    <mergeCell ref="C808:D808"/>
    <mergeCell ref="A783:A809"/>
    <mergeCell ref="B783:B809"/>
    <mergeCell ref="A733:A743"/>
    <mergeCell ref="A516:A522"/>
    <mergeCell ref="B516:B522"/>
    <mergeCell ref="C516:D516"/>
    <mergeCell ref="C522:D522"/>
    <mergeCell ref="A317:A340"/>
    <mergeCell ref="B317:B340"/>
    <mergeCell ref="C317:D317"/>
    <mergeCell ref="C318:D318"/>
    <mergeCell ref="C319:D319"/>
    <mergeCell ref="C320:D320"/>
    <mergeCell ref="C321:D321"/>
    <mergeCell ref="C322:D322"/>
    <mergeCell ref="C323:D323"/>
    <mergeCell ref="C427:D427"/>
    <mergeCell ref="C433:D433"/>
    <mergeCell ref="A435:A453"/>
    <mergeCell ref="B435:B453"/>
    <mergeCell ref="C435:D435"/>
    <mergeCell ref="C441:D441"/>
    <mergeCell ref="C447:D447"/>
    <mergeCell ref="C453:D453"/>
    <mergeCell ref="A455:A461"/>
    <mergeCell ref="B455:B461"/>
    <mergeCell ref="C455:D455"/>
    <mergeCell ref="E499:E500"/>
    <mergeCell ref="A509:A514"/>
    <mergeCell ref="B509:B514"/>
    <mergeCell ref="C509:D509"/>
    <mergeCell ref="C816:D816"/>
    <mergeCell ref="A556:A562"/>
    <mergeCell ref="B556:B562"/>
    <mergeCell ref="A564:A570"/>
    <mergeCell ref="B564:B570"/>
    <mergeCell ref="C669:D669"/>
    <mergeCell ref="C670:D670"/>
    <mergeCell ref="C671:D671"/>
    <mergeCell ref="C672:D672"/>
    <mergeCell ref="C673:D673"/>
    <mergeCell ref="A572:A609"/>
    <mergeCell ref="B572:B609"/>
    <mergeCell ref="A524:A554"/>
    <mergeCell ref="B524:B554"/>
    <mergeCell ref="C524:D524"/>
    <mergeCell ref="C530:D530"/>
    <mergeCell ref="C536:D536"/>
    <mergeCell ref="C542:D542"/>
    <mergeCell ref="C548:D548"/>
    <mergeCell ref="C554:D554"/>
    <mergeCell ref="C390:D390"/>
    <mergeCell ref="C391:D391"/>
    <mergeCell ref="C392:D392"/>
    <mergeCell ref="C394:D394"/>
    <mergeCell ref="C572:D572"/>
    <mergeCell ref="C573:C577"/>
    <mergeCell ref="C578:C582"/>
    <mergeCell ref="C583:C587"/>
    <mergeCell ref="C832:D832"/>
    <mergeCell ref="C668:D668"/>
    <mergeCell ref="C726:D726"/>
    <mergeCell ref="C727:D727"/>
    <mergeCell ref="C731:D731"/>
    <mergeCell ref="C627:D627"/>
    <mergeCell ref="C628:D628"/>
    <mergeCell ref="C631:D631"/>
    <mergeCell ref="C633:D633"/>
    <mergeCell ref="C639:D639"/>
    <mergeCell ref="C800:C802"/>
    <mergeCell ref="C751:D751"/>
    <mergeCell ref="C716:D716"/>
    <mergeCell ref="C608:D608"/>
    <mergeCell ref="C609:D609"/>
    <mergeCell ref="C461:D461"/>
    <mergeCell ref="A349:A354"/>
    <mergeCell ref="B349:B354"/>
    <mergeCell ref="C349:D349"/>
    <mergeCell ref="C350:D350"/>
    <mergeCell ref="C351:D351"/>
    <mergeCell ref="C352:D352"/>
    <mergeCell ref="C354:D354"/>
    <mergeCell ref="C324:D324"/>
    <mergeCell ref="C325:D325"/>
    <mergeCell ref="C326:D326"/>
    <mergeCell ref="C327:D327"/>
    <mergeCell ref="C328:D328"/>
    <mergeCell ref="C340:D340"/>
    <mergeCell ref="C360:D360"/>
    <mergeCell ref="C361:D361"/>
    <mergeCell ref="C362:D362"/>
    <mergeCell ref="C364:D364"/>
    <mergeCell ref="A366:A373"/>
    <mergeCell ref="B366:B373"/>
    <mergeCell ref="C366:D366"/>
    <mergeCell ref="C367:D367"/>
    <mergeCell ref="C373:D373"/>
    <mergeCell ref="C389:D389"/>
    <mergeCell ref="A356:A364"/>
    <mergeCell ref="A410:A417"/>
    <mergeCell ref="B410:B417"/>
    <mergeCell ref="C410:D410"/>
    <mergeCell ref="C411:D411"/>
    <mergeCell ref="C417:D417"/>
    <mergeCell ref="B403:B408"/>
    <mergeCell ref="C403:D403"/>
    <mergeCell ref="C404:D404"/>
    <mergeCell ref="C405:D405"/>
    <mergeCell ref="C406:D406"/>
    <mergeCell ref="C408:D408"/>
    <mergeCell ref="A396:A401"/>
    <mergeCell ref="A375:A387"/>
    <mergeCell ref="B375:B387"/>
    <mergeCell ref="C375:D375"/>
    <mergeCell ref="C381:D381"/>
    <mergeCell ref="C387:D387"/>
    <mergeCell ref="B356:B364"/>
    <mergeCell ref="C356:D356"/>
    <mergeCell ref="C357:D357"/>
    <mergeCell ref="C358:D358"/>
    <mergeCell ref="C359:D359"/>
    <mergeCell ref="A1:F1"/>
    <mergeCell ref="A2:F2"/>
    <mergeCell ref="C6:D6"/>
    <mergeCell ref="A7:A13"/>
    <mergeCell ref="B7:B13"/>
    <mergeCell ref="C7:D7"/>
    <mergeCell ref="C13:D13"/>
    <mergeCell ref="E65:E66"/>
    <mergeCell ref="C67:D67"/>
    <mergeCell ref="A31:A37"/>
    <mergeCell ref="B31:B37"/>
    <mergeCell ref="C31:D31"/>
    <mergeCell ref="C37:D37"/>
    <mergeCell ref="A39:A45"/>
    <mergeCell ref="B39:B45"/>
    <mergeCell ref="C39:D39"/>
    <mergeCell ref="A23:A29"/>
    <mergeCell ref="B23:B29"/>
    <mergeCell ref="C23:D23"/>
    <mergeCell ref="C29:D29"/>
    <mergeCell ref="A61:A73"/>
    <mergeCell ref="B61:B73"/>
    <mergeCell ref="C61:D61"/>
    <mergeCell ref="D65:D66"/>
    <mergeCell ref="A15:A21"/>
    <mergeCell ref="B15:B21"/>
    <mergeCell ref="C15:D15"/>
    <mergeCell ref="C21:D21"/>
    <mergeCell ref="C175:D175"/>
    <mergeCell ref="A126:A132"/>
    <mergeCell ref="B126:B132"/>
    <mergeCell ref="C45:D45"/>
    <mergeCell ref="A47:A59"/>
    <mergeCell ref="B47:B59"/>
    <mergeCell ref="C47:D47"/>
    <mergeCell ref="C53:D53"/>
    <mergeCell ref="C59:D59"/>
    <mergeCell ref="A110:A116"/>
    <mergeCell ref="B110:B116"/>
    <mergeCell ref="C110:D110"/>
    <mergeCell ref="C73:D73"/>
    <mergeCell ref="D114:D115"/>
    <mergeCell ref="C116:D116"/>
    <mergeCell ref="A118:A124"/>
    <mergeCell ref="B118:B124"/>
    <mergeCell ref="C118:D118"/>
    <mergeCell ref="C124:D124"/>
    <mergeCell ref="A83:A108"/>
    <mergeCell ref="C126:D126"/>
    <mergeCell ref="C132:D132"/>
    <mergeCell ref="C94:D94"/>
    <mergeCell ref="C95:D95"/>
    <mergeCell ref="C96:D96"/>
    <mergeCell ref="C97:D97"/>
    <mergeCell ref="C107:D107"/>
    <mergeCell ref="C108:D108"/>
    <mergeCell ref="C106:D106"/>
    <mergeCell ref="A75:A81"/>
    <mergeCell ref="B75:B81"/>
    <mergeCell ref="C75:D75"/>
    <mergeCell ref="C81:D81"/>
    <mergeCell ref="B83:B108"/>
    <mergeCell ref="C83:D83"/>
    <mergeCell ref="C84:D84"/>
    <mergeCell ref="C85:D85"/>
    <mergeCell ref="C86:D86"/>
    <mergeCell ref="C87:D87"/>
    <mergeCell ref="C88:D88"/>
    <mergeCell ref="C93:D93"/>
    <mergeCell ref="A204:A209"/>
    <mergeCell ref="B204:B209"/>
    <mergeCell ref="C204:D204"/>
    <mergeCell ref="C205:D205"/>
    <mergeCell ref="C206:D206"/>
    <mergeCell ref="C207:D207"/>
    <mergeCell ref="C209:D209"/>
    <mergeCell ref="A134:A140"/>
    <mergeCell ref="B134:B140"/>
    <mergeCell ref="C134:D134"/>
    <mergeCell ref="C140:D140"/>
    <mergeCell ref="A197:A202"/>
    <mergeCell ref="B197:B202"/>
    <mergeCell ref="C197:D197"/>
    <mergeCell ref="C198:D198"/>
    <mergeCell ref="C199:D199"/>
    <mergeCell ref="C200:D200"/>
    <mergeCell ref="C202:D202"/>
    <mergeCell ref="A142:A160"/>
    <mergeCell ref="B142:B160"/>
    <mergeCell ref="C142:D142"/>
    <mergeCell ref="C148:D148"/>
    <mergeCell ref="C149:D149"/>
    <mergeCell ref="C150:D150"/>
    <mergeCell ref="C151:D151"/>
    <mergeCell ref="C153:D153"/>
    <mergeCell ref="A191:A195"/>
    <mergeCell ref="B191:B195"/>
    <mergeCell ref="C191:D191"/>
    <mergeCell ref="C192:D192"/>
    <mergeCell ref="C195:D195"/>
    <mergeCell ref="A177:A189"/>
    <mergeCell ref="B177:B189"/>
    <mergeCell ref="C177:D177"/>
    <mergeCell ref="C183:D183"/>
    <mergeCell ref="A162:A175"/>
    <mergeCell ref="B162:B175"/>
    <mergeCell ref="C162:D162"/>
    <mergeCell ref="C168:D168"/>
    <mergeCell ref="C169:D169"/>
    <mergeCell ref="C170:D170"/>
    <mergeCell ref="C171:D171"/>
    <mergeCell ref="C172:D172"/>
    <mergeCell ref="C174:D174"/>
    <mergeCell ref="C189:D189"/>
    <mergeCell ref="C154:D154"/>
    <mergeCell ref="C160:D160"/>
    <mergeCell ref="A211:A218"/>
    <mergeCell ref="B211:B218"/>
    <mergeCell ref="C211:D211"/>
    <mergeCell ref="C212:D212"/>
    <mergeCell ref="C213:D213"/>
    <mergeCell ref="C214:D214"/>
    <mergeCell ref="C215:D215"/>
    <mergeCell ref="C216:D216"/>
    <mergeCell ref="C218:D218"/>
    <mergeCell ref="A220:A239"/>
    <mergeCell ref="B220:B239"/>
    <mergeCell ref="C220:D220"/>
    <mergeCell ref="C226:D226"/>
    <mergeCell ref="C227:D227"/>
    <mergeCell ref="C228:D228"/>
    <mergeCell ref="C229:D229"/>
    <mergeCell ref="C233:D233"/>
    <mergeCell ref="C239:D239"/>
    <mergeCell ref="C237:D237"/>
    <mergeCell ref="C238:E238"/>
    <mergeCell ref="A249:A257"/>
    <mergeCell ref="B249:B257"/>
    <mergeCell ref="C249:D249"/>
    <mergeCell ref="C250:D250"/>
    <mergeCell ref="C251:D251"/>
    <mergeCell ref="C252:D252"/>
    <mergeCell ref="C257:D257"/>
    <mergeCell ref="A241:A247"/>
    <mergeCell ref="B241:B247"/>
    <mergeCell ref="C241:D241"/>
    <mergeCell ref="C242:D242"/>
    <mergeCell ref="C243:D243"/>
    <mergeCell ref="C244:D244"/>
    <mergeCell ref="C247:D247"/>
    <mergeCell ref="A259:A265"/>
    <mergeCell ref="B259:B265"/>
    <mergeCell ref="C259:D259"/>
    <mergeCell ref="C260:D260"/>
    <mergeCell ref="C261:D261"/>
    <mergeCell ref="C262:D262"/>
    <mergeCell ref="C265:D265"/>
    <mergeCell ref="A267:A272"/>
    <mergeCell ref="B267:B272"/>
    <mergeCell ref="C267:D267"/>
    <mergeCell ref="C268:D268"/>
    <mergeCell ref="C269:D269"/>
    <mergeCell ref="C270:D270"/>
    <mergeCell ref="C272:D272"/>
    <mergeCell ref="A427:A433"/>
    <mergeCell ref="B427:B433"/>
    <mergeCell ref="A274:A279"/>
    <mergeCell ref="B274:B279"/>
    <mergeCell ref="C274:D274"/>
    <mergeCell ref="C275:D275"/>
    <mergeCell ref="C276:D276"/>
    <mergeCell ref="C277:D277"/>
    <mergeCell ref="C279:D279"/>
    <mergeCell ref="A281:A297"/>
    <mergeCell ref="B281:B297"/>
    <mergeCell ref="C281:D281"/>
    <mergeCell ref="C282:D282"/>
    <mergeCell ref="C283:D283"/>
    <mergeCell ref="C284:D284"/>
    <mergeCell ref="C285:D285"/>
    <mergeCell ref="C288:D288"/>
    <mergeCell ref="C297:D297"/>
    <mergeCell ref="A419:A425"/>
    <mergeCell ref="B419:B425"/>
    <mergeCell ref="C419:D419"/>
    <mergeCell ref="C425:D425"/>
    <mergeCell ref="A389:A394"/>
    <mergeCell ref="B389:B394"/>
    <mergeCell ref="C286:D286"/>
    <mergeCell ref="C287:D287"/>
    <mergeCell ref="A342:A347"/>
    <mergeCell ref="B342:B347"/>
    <mergeCell ref="C342:D342"/>
    <mergeCell ref="C343:D343"/>
    <mergeCell ref="C344:D344"/>
    <mergeCell ref="C345:D345"/>
    <mergeCell ref="C347:D347"/>
    <mergeCell ref="C329:D329"/>
    <mergeCell ref="C330:D330"/>
    <mergeCell ref="C331:D331"/>
    <mergeCell ref="C300:D300"/>
    <mergeCell ref="C301:D301"/>
    <mergeCell ref="C302:D302"/>
    <mergeCell ref="C303:D303"/>
    <mergeCell ref="C304:D304"/>
    <mergeCell ref="C305:D305"/>
    <mergeCell ref="C306:D306"/>
    <mergeCell ref="C315:D315"/>
    <mergeCell ref="A299:A315"/>
    <mergeCell ref="B299:B315"/>
    <mergeCell ref="C299:D299"/>
    <mergeCell ref="A477:A507"/>
    <mergeCell ref="B477:B507"/>
    <mergeCell ref="C477:D477"/>
    <mergeCell ref="C483:D483"/>
    <mergeCell ref="C489:D489"/>
    <mergeCell ref="C495:D495"/>
    <mergeCell ref="D499:D500"/>
    <mergeCell ref="C501:D501"/>
    <mergeCell ref="C507:D507"/>
    <mergeCell ref="B626:B631"/>
    <mergeCell ref="C626:D626"/>
    <mergeCell ref="B396:B401"/>
    <mergeCell ref="C396:D396"/>
    <mergeCell ref="C397:D397"/>
    <mergeCell ref="C398:D398"/>
    <mergeCell ref="C399:D399"/>
    <mergeCell ref="C401:D401"/>
    <mergeCell ref="C556:D556"/>
    <mergeCell ref="C557:D557"/>
    <mergeCell ref="C562:D562"/>
    <mergeCell ref="C564:D564"/>
    <mergeCell ref="C570:D570"/>
    <mergeCell ref="C622:D622"/>
    <mergeCell ref="C629:D629"/>
    <mergeCell ref="C770:C772"/>
    <mergeCell ref="C779:D779"/>
    <mergeCell ref="C780:D780"/>
    <mergeCell ref="C781:D781"/>
    <mergeCell ref="C917:D917"/>
    <mergeCell ref="C833:D833"/>
    <mergeCell ref="C842:D842"/>
    <mergeCell ref="C843:D843"/>
    <mergeCell ref="C797:C799"/>
    <mergeCell ref="C850:D850"/>
    <mergeCell ref="C851:D851"/>
    <mergeCell ref="C853:D853"/>
    <mergeCell ref="C855:D855"/>
    <mergeCell ref="C856:C860"/>
    <mergeCell ref="C861:C865"/>
    <mergeCell ref="C849:D849"/>
    <mergeCell ref="C876:C880"/>
    <mergeCell ref="C881:C885"/>
    <mergeCell ref="A403:A408"/>
    <mergeCell ref="C720:D720"/>
    <mergeCell ref="C722:D722"/>
    <mergeCell ref="C723:D723"/>
    <mergeCell ref="C724:D724"/>
    <mergeCell ref="A648:A654"/>
    <mergeCell ref="C666:D666"/>
    <mergeCell ref="C624:D624"/>
    <mergeCell ref="C896:D896"/>
    <mergeCell ref="B648:B654"/>
    <mergeCell ref="C648:D648"/>
    <mergeCell ref="C866:C870"/>
    <mergeCell ref="C871:C875"/>
    <mergeCell ref="A845:A892"/>
    <mergeCell ref="A894:A917"/>
    <mergeCell ref="B894:B917"/>
    <mergeCell ref="C894:D894"/>
    <mergeCell ref="C895:D895"/>
    <mergeCell ref="C902:D902"/>
    <mergeCell ref="C903:D903"/>
    <mergeCell ref="C904:D904"/>
    <mergeCell ref="C908:D908"/>
    <mergeCell ref="C905:D905"/>
    <mergeCell ref="C906:D906"/>
    <mergeCell ref="C922:D922"/>
    <mergeCell ref="C897:D897"/>
    <mergeCell ref="C898:D898"/>
    <mergeCell ref="A962:A968"/>
    <mergeCell ref="B962:B968"/>
    <mergeCell ref="C962:D962"/>
    <mergeCell ref="C968:D968"/>
    <mergeCell ref="A938:A944"/>
    <mergeCell ref="B938:B944"/>
    <mergeCell ref="C938:D938"/>
    <mergeCell ref="C944:D944"/>
    <mergeCell ref="A946:A952"/>
    <mergeCell ref="B946:B952"/>
    <mergeCell ref="C946:D946"/>
    <mergeCell ref="C952:D952"/>
    <mergeCell ref="A954:A960"/>
    <mergeCell ref="B954:B960"/>
    <mergeCell ref="C954:D954"/>
    <mergeCell ref="C960:D960"/>
    <mergeCell ref="C907:D907"/>
    <mergeCell ref="C899:D899"/>
    <mergeCell ref="C900:D900"/>
    <mergeCell ref="C901:D901"/>
    <mergeCell ref="A929:A936"/>
  </mergeCells>
  <conditionalFormatting sqref="F126">
    <cfRule type="containsText" dxfId="98" priority="1" operator="containsText" text="Salah isi">
      <formula>NOT(ISERROR(SEARCH("Salah isi",F126)))</formula>
    </cfRule>
  </conditionalFormatting>
  <conditionalFormatting sqref="F572">
    <cfRule type="containsText" dxfId="97" priority="2" operator="containsText" text="Salah isi">
      <formula>NOT(ISERROR(SEARCH("Salah isi",F572)))</formula>
    </cfRule>
  </conditionalFormatting>
  <conditionalFormatting sqref="G101">
    <cfRule type="cellIs" dxfId="96" priority="3" operator="equal">
      <formula>"Tidak dinilai"</formula>
    </cfRule>
  </conditionalFormatting>
  <conditionalFormatting sqref="F134">
    <cfRule type="containsText" dxfId="95" priority="4" operator="containsText" text="Salah isi">
      <formula>NOT(ISERROR(SEARCH("Salah isi",F134)))</formula>
    </cfRule>
  </conditionalFormatting>
  <conditionalFormatting sqref="F118">
    <cfRule type="containsText" dxfId="94" priority="5" operator="containsText" text="Salah isi">
      <formula>NOT(ISERROR(SEARCH("Salah isi",F118)))</formula>
    </cfRule>
  </conditionalFormatting>
  <conditionalFormatting sqref="F47">
    <cfRule type="containsText" dxfId="93" priority="6" operator="containsText" text="Salah isi">
      <formula>NOT(ISERROR(SEARCH("Salah isi",F47)))</formula>
    </cfRule>
  </conditionalFormatting>
  <conditionalFormatting sqref="F39">
    <cfRule type="containsText" dxfId="92" priority="7" operator="containsText" text="Salah isi">
      <formula>NOT(ISERROR(SEARCH("Salah isi",F39)))</formula>
    </cfRule>
  </conditionalFormatting>
  <conditionalFormatting sqref="F31">
    <cfRule type="containsText" dxfId="91" priority="8" operator="containsText" text="Salah isi">
      <formula>NOT(ISERROR(SEARCH("Salah isi",F31)))</formula>
    </cfRule>
  </conditionalFormatting>
  <conditionalFormatting sqref="F23">
    <cfRule type="containsText" dxfId="90" priority="9" operator="containsText" text="Salah isi">
      <formula>NOT(ISERROR(SEARCH("Salah isi",F23)))</formula>
    </cfRule>
  </conditionalFormatting>
  <conditionalFormatting sqref="F7">
    <cfRule type="containsText" dxfId="89" priority="10" operator="containsText" text="Salah isi">
      <formula>NOT(ISERROR(SEARCH("Salah isi",F7)))</formula>
    </cfRule>
  </conditionalFormatting>
  <conditionalFormatting sqref="F15">
    <cfRule type="containsText" dxfId="88" priority="11" operator="containsText" text="Salah isi">
      <formula>NOT(ISERROR(SEARCH("Salah isi",F15)))</formula>
    </cfRule>
  </conditionalFormatting>
  <conditionalFormatting sqref="F53">
    <cfRule type="containsText" dxfId="87" priority="12" operator="containsText" text="Salah isi">
      <formula>NOT(ISERROR(SEARCH("Salah isi",F53)))</formula>
    </cfRule>
  </conditionalFormatting>
  <conditionalFormatting sqref="F61">
    <cfRule type="containsText" dxfId="86" priority="13" operator="containsText" text="Salah isi">
      <formula>NOT(ISERROR(SEARCH("Salah isi",F61)))</formula>
    </cfRule>
  </conditionalFormatting>
  <conditionalFormatting sqref="F67">
    <cfRule type="containsText" dxfId="85" priority="14" operator="containsText" text="Salah isi">
      <formula>NOT(ISERROR(SEARCH("Salah isi",F67)))</formula>
    </cfRule>
  </conditionalFormatting>
  <conditionalFormatting sqref="F75">
    <cfRule type="containsText" dxfId="84" priority="15" operator="containsText" text="Salah isi">
      <formula>NOT(ISERROR(SEARCH("Salah isi",F75)))</formula>
    </cfRule>
  </conditionalFormatting>
  <conditionalFormatting sqref="F110">
    <cfRule type="containsText" dxfId="83" priority="16" operator="containsText" text="Salah isi">
      <formula>NOT(ISERROR(SEARCH("Salah isi",F110)))</formula>
    </cfRule>
  </conditionalFormatting>
  <conditionalFormatting sqref="F463">
    <cfRule type="containsText" dxfId="82" priority="17" operator="containsText" text="Salah isi">
      <formula>NOT(ISERROR(SEARCH("Salah isi",F463)))</formula>
    </cfRule>
  </conditionalFormatting>
  <conditionalFormatting sqref="F611">
    <cfRule type="containsText" dxfId="81" priority="18" operator="containsText" text="Salah isi">
      <formula>NOT(ISERROR(SEARCH("Salah isi",F611)))</formula>
    </cfRule>
  </conditionalFormatting>
  <conditionalFormatting sqref="F183">
    <cfRule type="containsText" dxfId="80" priority="19" operator="containsText" text="Salah isi">
      <formula>NOT(ISERROR(SEARCH("Salah isi",F183)))</formula>
    </cfRule>
  </conditionalFormatting>
  <conditionalFormatting sqref="F177">
    <cfRule type="containsText" dxfId="79" priority="20" operator="containsText" text="Salah isi">
      <formula>NOT(ISERROR(SEARCH("Salah isi",F177)))</formula>
    </cfRule>
  </conditionalFormatting>
  <conditionalFormatting sqref="F366:F367">
    <cfRule type="containsText" dxfId="78" priority="21" operator="containsText" text="Salah isi">
      <formula>NOT(ISERROR(SEARCH("Salah isi",F366:F367)))</formula>
    </cfRule>
  </conditionalFormatting>
  <conditionalFormatting sqref="F381">
    <cfRule type="containsText" dxfId="77" priority="22" operator="containsText" text="Salah isi">
      <formula>NOT(ISERROR(SEARCH("Salah isi",F381)))</formula>
    </cfRule>
  </conditionalFormatting>
  <conditionalFormatting sqref="F375">
    <cfRule type="containsText" dxfId="76" priority="23" operator="containsText" text="Salah isi">
      <formula>NOT(ISERROR(SEARCH("Salah isi",F375)))</formula>
    </cfRule>
  </conditionalFormatting>
  <conditionalFormatting sqref="F410:F411">
    <cfRule type="containsText" dxfId="75" priority="24" operator="containsText" text="Salah isi">
      <formula>NOT(ISERROR(SEARCH("Salah isi",F410:F411)))</formula>
    </cfRule>
  </conditionalFormatting>
  <conditionalFormatting sqref="F419">
    <cfRule type="containsText" dxfId="74" priority="25" operator="containsText" text="Salah isi">
      <formula>NOT(ISERROR(SEARCH("Salah isi",F419)))</formula>
    </cfRule>
  </conditionalFormatting>
  <conditionalFormatting sqref="F427">
    <cfRule type="containsText" dxfId="73" priority="26" operator="containsText" text="Salah isi">
      <formula>NOT(ISERROR(SEARCH("Salah isi",F427)))</formula>
    </cfRule>
  </conditionalFormatting>
  <conditionalFormatting sqref="F435">
    <cfRule type="containsText" dxfId="72" priority="27" operator="containsText" text="Salah isi">
      <formula>NOT(ISERROR(SEARCH("Salah isi",F435)))</formula>
    </cfRule>
  </conditionalFormatting>
  <conditionalFormatting sqref="F441">
    <cfRule type="containsText" dxfId="71" priority="28" operator="containsText" text="Salah isi">
      <formula>NOT(ISERROR(SEARCH("Salah isi",F441)))</formula>
    </cfRule>
  </conditionalFormatting>
  <conditionalFormatting sqref="F447">
    <cfRule type="containsText" dxfId="70" priority="29" operator="containsText" text="Salah isi">
      <formula>NOT(ISERROR(SEARCH("Salah isi",F447)))</formula>
    </cfRule>
  </conditionalFormatting>
  <conditionalFormatting sqref="F455">
    <cfRule type="containsText" dxfId="69" priority="30" operator="containsText" text="Salah isi">
      <formula>NOT(ISERROR(SEARCH("Salah isi",F455)))</formula>
    </cfRule>
  </conditionalFormatting>
  <conditionalFormatting sqref="F495">
    <cfRule type="containsText" dxfId="68" priority="31" operator="containsText" text="Salah isi">
      <formula>NOT(ISERROR(SEARCH("Salah isi",F495)))</formula>
    </cfRule>
  </conditionalFormatting>
  <conditionalFormatting sqref="F477">
    <cfRule type="containsText" dxfId="67" priority="32" operator="containsText" text="Salah isi">
      <formula>NOT(ISERROR(SEARCH("Salah isi",F477)))</formula>
    </cfRule>
  </conditionalFormatting>
  <conditionalFormatting sqref="F469">
    <cfRule type="containsText" dxfId="66" priority="33" operator="containsText" text="Salah isi">
      <formula>NOT(ISERROR(SEARCH("Salah isi",F469)))</formula>
    </cfRule>
  </conditionalFormatting>
  <conditionalFormatting sqref="F501">
    <cfRule type="containsText" dxfId="65" priority="34" operator="containsText" text="Salah isi">
      <formula>NOT(ISERROR(SEARCH("Salah isi",F501)))</formula>
    </cfRule>
  </conditionalFormatting>
  <conditionalFormatting sqref="F483">
    <cfRule type="containsText" dxfId="64" priority="35" operator="containsText" text="Salah isi">
      <formula>NOT(ISERROR(SEARCH("Salah isi",F483)))</formula>
    </cfRule>
  </conditionalFormatting>
  <conditionalFormatting sqref="F516">
    <cfRule type="containsText" dxfId="63" priority="36" operator="containsText" text="Salah isi">
      <formula>NOT(ISERROR(SEARCH("Salah isi",F516)))</formula>
    </cfRule>
  </conditionalFormatting>
  <conditionalFormatting sqref="F524">
    <cfRule type="containsText" dxfId="62" priority="37" operator="containsText" text="Salah isi">
      <formula>NOT(ISERROR(SEARCH("Salah isi",F524)))</formula>
    </cfRule>
  </conditionalFormatting>
  <conditionalFormatting sqref="F530">
    <cfRule type="containsText" dxfId="61" priority="38" operator="containsText" text="Salah isi">
      <formula>NOT(ISERROR(SEARCH("Salah isi",F530)))</formula>
    </cfRule>
  </conditionalFormatting>
  <conditionalFormatting sqref="F536">
    <cfRule type="containsText" dxfId="60" priority="39" operator="containsText" text="Salah isi">
      <formula>NOT(ISERROR(SEARCH("Salah isi",F536)))</formula>
    </cfRule>
  </conditionalFormatting>
  <conditionalFormatting sqref="F564">
    <cfRule type="containsText" dxfId="59" priority="40" operator="containsText" text="Salah isi">
      <formula>NOT(ISERROR(SEARCH("Salah isi",F564)))</formula>
    </cfRule>
  </conditionalFormatting>
  <conditionalFormatting sqref="F602">
    <cfRule type="containsText" dxfId="58" priority="41" operator="containsText" text="Salah isi">
      <formula>NOT(ISERROR(SEARCH("Salah isi",F602)))</formula>
    </cfRule>
  </conditionalFormatting>
  <conditionalFormatting sqref="F938">
    <cfRule type="containsText" dxfId="57" priority="42" operator="containsText" text="Salah isi">
      <formula>NOT(ISERROR(SEARCH("Salah isi",F938)))</formula>
    </cfRule>
  </conditionalFormatting>
  <conditionalFormatting sqref="F633">
    <cfRule type="containsText" dxfId="56" priority="43" operator="containsText" text="Salah isi">
      <formula>NOT(ISERROR(SEARCH("Salah isi",F633)))</formula>
    </cfRule>
  </conditionalFormatting>
  <conditionalFormatting sqref="F648">
    <cfRule type="containsText" dxfId="55" priority="44" operator="containsText" text="Salah isi">
      <formula>NOT(ISERROR(SEARCH("Salah isi",F648)))</formula>
    </cfRule>
  </conditionalFormatting>
  <conditionalFormatting sqref="F745">
    <cfRule type="containsText" dxfId="54" priority="45" operator="containsText" text="Salah isi">
      <formula>NOT(ISERROR(SEARCH("Salah isi",F745)))</formula>
    </cfRule>
  </conditionalFormatting>
  <conditionalFormatting sqref="F946">
    <cfRule type="containsText" dxfId="53" priority="46" operator="containsText" text="Salah isi">
      <formula>NOT(ISERROR(SEARCH("Salah isi",F946)))</formula>
    </cfRule>
  </conditionalFormatting>
  <conditionalFormatting sqref="F954">
    <cfRule type="containsText" dxfId="52" priority="47" operator="containsText" text="Salah isi">
      <formula>NOT(ISERROR(SEARCH("Salah isi",F954)))</formula>
    </cfRule>
  </conditionalFormatting>
  <conditionalFormatting sqref="F962">
    <cfRule type="containsText" dxfId="51" priority="48" operator="containsText" text="Salah isi">
      <formula>NOT(ISERROR(SEARCH("Salah isi",F962)))</formula>
    </cfRule>
  </conditionalFormatting>
  <conditionalFormatting sqref="F154:F155">
    <cfRule type="containsText" dxfId="50" priority="49" operator="containsText" text="Salah isi">
      <formula>NOT(ISERROR(SEARCH("Salah isi",F154:F155)))</formula>
    </cfRule>
  </conditionalFormatting>
  <conditionalFormatting sqref="F162">
    <cfRule type="containsText" dxfId="49" priority="50" operator="containsText" text="Salah isi">
      <formula>NOT(ISERROR(SEARCH("Salah isi",F162)))</formula>
    </cfRule>
  </conditionalFormatting>
  <conditionalFormatting sqref="F489">
    <cfRule type="containsText" dxfId="48" priority="51" operator="containsText" text="Salah isi">
      <formula>NOT(ISERROR(SEARCH("Salah isi",F489)))</formula>
    </cfRule>
  </conditionalFormatting>
  <dataValidations count="12">
    <dataValidation type="list" allowBlank="1" showInputMessage="1" showErrorMessage="1" sqref="E924">
      <formula1>#REF!</formula1>
    </dataValidation>
    <dataValidation type="list" allowBlank="1" showInputMessage="1" showErrorMessage="1" sqref="E204">
      <formula1>#REF!</formula1>
    </dataValidation>
    <dataValidation type="list" allowBlank="1" showInputMessage="1" showErrorMessage="1" sqref="E211">
      <formula1>#REF!</formula1>
    </dataValidation>
    <dataValidation type="list" allowBlank="1" showInputMessage="1" showErrorMessage="1" sqref="E929">
      <formula1>#REF!</formula1>
    </dataValidation>
    <dataValidation type="list" allowBlank="1" showInputMessage="1" showErrorMessage="1" sqref="E191">
      <formula1>#REF!</formula1>
    </dataValidation>
    <dataValidation type="list" allowBlank="1" showInputMessage="1" showErrorMessage="1" sqref="E83">
      <formula1>#REF!</formula1>
    </dataValidation>
    <dataValidation type="list" allowBlank="1" showInputMessage="1" showErrorMessage="1" sqref="E249">
      <formula1>#REF!</formula1>
    </dataValidation>
    <dataValidation type="list" allowBlank="1" showInputMessage="1" showErrorMessage="1" sqref="E919">
      <formula1>#REF!</formula1>
    </dataValidation>
    <dataValidation type="list" allowBlank="1" showInputMessage="1" showErrorMessage="1" sqref="E221">
      <formula1>$E$222:$E$223</formula1>
    </dataValidation>
    <dataValidation type="list" allowBlank="1" showInputMessage="1" showErrorMessage="1" sqref="E143">
      <formula1>$E$144:$E$145</formula1>
    </dataValidation>
    <dataValidation allowBlank="1" showInputMessage="1" showErrorMessage="1" sqref="E197"/>
    <dataValidation allowBlank="1" showInputMessage="1" showErrorMessage="1" sqref="E342"/>
  </dataValidation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2"/>
  <sheetViews>
    <sheetView topLeftCell="A76" zoomScale="90" zoomScaleNormal="90" workbookViewId="0">
      <selection activeCell="B79" sqref="B79"/>
    </sheetView>
  </sheetViews>
  <sheetFormatPr defaultColWidth="8.85546875" defaultRowHeight="15.75" x14ac:dyDescent="0.25"/>
  <cols>
    <col min="1" max="1" width="5.85546875" style="2" customWidth="1"/>
    <col min="2" max="2" width="19.85546875" style="2" customWidth="1"/>
    <col min="3" max="4" width="30.42578125" style="3" customWidth="1"/>
    <col min="5" max="5" width="16.42578125" style="3" customWidth="1"/>
    <col min="6" max="6" width="10.140625" style="3" customWidth="1"/>
    <col min="7" max="7" width="8.85546875" style="4"/>
    <col min="8" max="8" width="5.42578125" style="1" customWidth="1"/>
    <col min="9" max="9" width="30.42578125" style="1" customWidth="1"/>
    <col min="10" max="10" width="10.42578125" style="1" customWidth="1"/>
    <col min="11" max="11" width="30.42578125" style="1" customWidth="1"/>
    <col min="12" max="12" width="10.42578125" style="1" customWidth="1"/>
    <col min="13" max="13" width="8.85546875" style="1"/>
  </cols>
  <sheetData>
    <row r="1" spans="1:12" x14ac:dyDescent="0.25">
      <c r="A1" s="426" t="s">
        <v>626</v>
      </c>
      <c r="B1" s="426"/>
      <c r="C1" s="426"/>
      <c r="D1" s="426"/>
      <c r="E1" s="426"/>
      <c r="F1" s="241"/>
      <c r="G1" s="241"/>
    </row>
    <row r="2" spans="1:12" x14ac:dyDescent="0.25">
      <c r="A2" s="426" t="s">
        <v>627</v>
      </c>
      <c r="B2" s="426"/>
      <c r="C2" s="426"/>
      <c r="D2" s="426"/>
      <c r="E2" s="426"/>
      <c r="F2" s="241"/>
      <c r="G2" s="241"/>
    </row>
    <row r="3" spans="1:12" x14ac:dyDescent="0.25">
      <c r="A3" s="242"/>
      <c r="B3" s="242"/>
      <c r="C3" s="242"/>
      <c r="D3" s="242"/>
      <c r="E3" s="242"/>
      <c r="F3" s="242"/>
      <c r="G3" s="242"/>
    </row>
    <row r="4" spans="1:12" x14ac:dyDescent="0.25">
      <c r="A4" s="243" t="s">
        <v>628</v>
      </c>
      <c r="B4" s="243"/>
      <c r="C4" s="427">
        <f>Menu!H7</f>
        <v>0</v>
      </c>
      <c r="D4" s="427"/>
      <c r="E4" s="427"/>
      <c r="F4" s="244"/>
      <c r="G4" s="244"/>
    </row>
    <row r="5" spans="1:12" x14ac:dyDescent="0.25">
      <c r="A5" s="243" t="s">
        <v>629</v>
      </c>
      <c r="B5" s="243"/>
      <c r="C5" s="427">
        <f>Menu!H9</f>
        <v>0</v>
      </c>
      <c r="D5" s="427"/>
      <c r="E5" s="427"/>
      <c r="F5" s="244"/>
      <c r="G5" s="244"/>
    </row>
    <row r="6" spans="1:12" x14ac:dyDescent="0.25">
      <c r="A6" s="243" t="s">
        <v>630</v>
      </c>
      <c r="B6" s="243"/>
      <c r="C6" s="427">
        <f>Menu!H11</f>
        <v>0</v>
      </c>
      <c r="D6" s="427"/>
      <c r="E6" s="427"/>
      <c r="F6" s="244"/>
    </row>
    <row r="7" spans="1:12" ht="17.100000000000001" customHeight="1" x14ac:dyDescent="0.25">
      <c r="A7" s="243" t="s">
        <v>631</v>
      </c>
      <c r="B7" s="243"/>
      <c r="C7" s="245">
        <f>Menu!H13</f>
        <v>0</v>
      </c>
      <c r="G7" s="244"/>
    </row>
    <row r="8" spans="1:12" x14ac:dyDescent="0.25">
      <c r="A8" s="243" t="s">
        <v>632</v>
      </c>
      <c r="B8" s="243"/>
      <c r="C8" s="246">
        <f>Menu!P26</f>
        <v>0</v>
      </c>
      <c r="G8" s="244"/>
    </row>
    <row r="9" spans="1:12" ht="17.100000000000001" customHeight="1" x14ac:dyDescent="0.25">
      <c r="A9" s="243"/>
      <c r="B9" s="243"/>
      <c r="C9" s="247"/>
      <c r="G9" s="244"/>
    </row>
    <row r="10" spans="1:12" ht="48.95" customHeight="1" x14ac:dyDescent="0.25">
      <c r="A10" s="248" t="s">
        <v>633</v>
      </c>
      <c r="B10" s="248" t="s">
        <v>23</v>
      </c>
      <c r="C10" s="248" t="s">
        <v>634</v>
      </c>
      <c r="D10" s="248" t="s">
        <v>635</v>
      </c>
      <c r="E10" s="248" t="s">
        <v>636</v>
      </c>
      <c r="F10" s="249"/>
      <c r="G10" s="250" t="s">
        <v>637</v>
      </c>
      <c r="H10" s="251"/>
      <c r="I10" s="252" t="s">
        <v>638</v>
      </c>
      <c r="J10" s="252" t="s">
        <v>639</v>
      </c>
      <c r="K10" s="253" t="s">
        <v>640</v>
      </c>
      <c r="L10" s="253" t="s">
        <v>641</v>
      </c>
    </row>
    <row r="11" spans="1:12" ht="75" customHeight="1" x14ac:dyDescent="0.25">
      <c r="A11" s="254">
        <v>1</v>
      </c>
      <c r="B11" s="255" t="s">
        <v>642</v>
      </c>
      <c r="C11" s="256"/>
      <c r="D11" s="256">
        <f>'Kertas Kerja'!H7</f>
        <v>0</v>
      </c>
      <c r="E11" s="256"/>
      <c r="F11" s="257"/>
      <c r="G11" s="258">
        <f>'Kertas Kerja'!E13</f>
        <v>0</v>
      </c>
      <c r="H11" s="259"/>
      <c r="I11" s="256" t="s">
        <v>643</v>
      </c>
      <c r="J11" s="260">
        <v>1.5</v>
      </c>
      <c r="K11" s="256" t="s">
        <v>644</v>
      </c>
      <c r="L11" s="261">
        <v>1.5</v>
      </c>
    </row>
    <row r="12" spans="1:12" ht="195" customHeight="1" x14ac:dyDescent="0.25">
      <c r="A12" s="254">
        <v>2</v>
      </c>
      <c r="B12" s="255" t="s">
        <v>645</v>
      </c>
      <c r="C12" s="262"/>
      <c r="D12" s="262">
        <f>'Kertas Kerja'!H15</f>
        <v>0</v>
      </c>
      <c r="E12" s="262"/>
      <c r="F12" s="263"/>
      <c r="G12" s="264">
        <f>'Kertas Kerja'!E21</f>
        <v>0</v>
      </c>
      <c r="H12" s="259"/>
      <c r="I12" s="262" t="s">
        <v>646</v>
      </c>
      <c r="J12" s="265">
        <v>1.5</v>
      </c>
      <c r="K12" s="262" t="s">
        <v>647</v>
      </c>
      <c r="L12" s="266">
        <v>1.5</v>
      </c>
    </row>
    <row r="13" spans="1:12" ht="195" customHeight="1" x14ac:dyDescent="0.25">
      <c r="A13" s="254">
        <v>3</v>
      </c>
      <c r="B13" s="267" t="s">
        <v>648</v>
      </c>
      <c r="C13" s="262"/>
      <c r="D13" s="262">
        <f>'Kertas Kerja'!H23</f>
        <v>0</v>
      </c>
      <c r="E13" s="262"/>
      <c r="F13" s="263"/>
      <c r="G13" s="264">
        <f>'Kertas Kerja'!E29</f>
        <v>0</v>
      </c>
      <c r="H13" s="259"/>
      <c r="I13" s="262" t="s">
        <v>649</v>
      </c>
      <c r="J13" s="265">
        <v>1</v>
      </c>
      <c r="K13" s="262" t="s">
        <v>650</v>
      </c>
      <c r="L13" s="266">
        <v>1</v>
      </c>
    </row>
    <row r="14" spans="1:12" ht="60" customHeight="1" x14ac:dyDescent="0.25">
      <c r="A14" s="254">
        <v>4</v>
      </c>
      <c r="B14" s="267" t="s">
        <v>49</v>
      </c>
      <c r="C14" s="268"/>
      <c r="D14" s="268">
        <f>'Kertas Kerja'!H31</f>
        <v>0</v>
      </c>
      <c r="E14" s="268"/>
      <c r="F14" s="263"/>
      <c r="G14" s="264">
        <f>'Kertas Kerja'!E37</f>
        <v>0</v>
      </c>
      <c r="H14" s="259"/>
      <c r="I14" s="268" t="s">
        <v>651</v>
      </c>
      <c r="J14" s="265">
        <v>0</v>
      </c>
      <c r="K14" s="268" t="s">
        <v>652</v>
      </c>
      <c r="L14" s="266">
        <v>0</v>
      </c>
    </row>
    <row r="15" spans="1:12" ht="105" customHeight="1" x14ac:dyDescent="0.25">
      <c r="A15" s="254">
        <v>5</v>
      </c>
      <c r="B15" s="262" t="s">
        <v>55</v>
      </c>
      <c r="C15" s="269"/>
      <c r="D15" s="269">
        <f>'Kertas Kerja'!H39</f>
        <v>0</v>
      </c>
      <c r="E15" s="269"/>
      <c r="F15" s="270"/>
      <c r="G15" s="271">
        <f>'Kertas Kerja'!E45</f>
        <v>0</v>
      </c>
      <c r="H15" s="259"/>
      <c r="I15" s="269" t="s">
        <v>653</v>
      </c>
      <c r="J15" s="272">
        <v>1</v>
      </c>
      <c r="K15" s="269" t="s">
        <v>654</v>
      </c>
      <c r="L15" s="273">
        <v>1</v>
      </c>
    </row>
    <row r="16" spans="1:12" ht="270" customHeight="1" x14ac:dyDescent="0.25">
      <c r="A16" s="254">
        <v>6</v>
      </c>
      <c r="B16" s="262" t="s">
        <v>655</v>
      </c>
      <c r="C16" s="269"/>
      <c r="D16" s="269">
        <f>'Kertas Kerja'!H47</f>
        <v>0</v>
      </c>
      <c r="E16" s="269"/>
      <c r="F16" s="270"/>
      <c r="G16" s="264">
        <f>'Kertas Kerja'!E59</f>
        <v>0</v>
      </c>
      <c r="H16" s="259"/>
      <c r="I16" s="269" t="s">
        <v>656</v>
      </c>
      <c r="J16" s="265">
        <v>1</v>
      </c>
      <c r="K16" s="269" t="s">
        <v>657</v>
      </c>
      <c r="L16" s="266">
        <v>1</v>
      </c>
    </row>
    <row r="17" spans="1:12" ht="210" customHeight="1" x14ac:dyDescent="0.25">
      <c r="A17" s="254">
        <v>7</v>
      </c>
      <c r="B17" s="262" t="s">
        <v>658</v>
      </c>
      <c r="C17" s="269"/>
      <c r="D17" s="269">
        <f>'Kertas Kerja'!H61</f>
        <v>0</v>
      </c>
      <c r="E17" s="269"/>
      <c r="F17" s="270"/>
      <c r="G17" s="264">
        <f>'Kertas Kerja'!E73</f>
        <v>0</v>
      </c>
      <c r="H17" s="259"/>
      <c r="I17" s="269" t="s">
        <v>659</v>
      </c>
      <c r="J17" s="265">
        <v>1.33</v>
      </c>
      <c r="K17" s="269" t="s">
        <v>660</v>
      </c>
      <c r="L17" s="266">
        <v>1.33</v>
      </c>
    </row>
    <row r="18" spans="1:12" ht="356.1" customHeight="1" x14ac:dyDescent="0.25">
      <c r="A18" s="254">
        <v>8</v>
      </c>
      <c r="B18" s="262" t="s">
        <v>661</v>
      </c>
      <c r="C18" s="269"/>
      <c r="D18" s="269">
        <f>'Kertas Kerja'!H75</f>
        <v>0</v>
      </c>
      <c r="E18" s="269"/>
      <c r="F18" s="270"/>
      <c r="G18" s="264">
        <f>'Kertas Kerja'!E81</f>
        <v>0</v>
      </c>
      <c r="H18" s="259"/>
      <c r="I18" s="269" t="s">
        <v>662</v>
      </c>
      <c r="J18" s="265">
        <v>2</v>
      </c>
      <c r="K18" s="269" t="s">
        <v>663</v>
      </c>
      <c r="L18" s="266">
        <v>2</v>
      </c>
    </row>
    <row r="19" spans="1:12" ht="180" customHeight="1" x14ac:dyDescent="0.25">
      <c r="A19" s="254">
        <v>9</v>
      </c>
      <c r="B19" s="262" t="s">
        <v>664</v>
      </c>
      <c r="C19" s="274"/>
      <c r="D19" s="274">
        <f>'Kertas Kerja'!H83</f>
        <v>0</v>
      </c>
      <c r="E19" s="274"/>
      <c r="F19" s="270"/>
      <c r="G19" s="264">
        <f>'Kertas Kerja'!E108</f>
        <v>0</v>
      </c>
      <c r="H19" s="259"/>
      <c r="I19" s="274" t="s">
        <v>665</v>
      </c>
      <c r="J19" s="265">
        <v>0</v>
      </c>
      <c r="K19" s="274" t="s">
        <v>666</v>
      </c>
      <c r="L19" s="266">
        <v>0</v>
      </c>
    </row>
    <row r="20" spans="1:12" ht="105" customHeight="1" x14ac:dyDescent="0.25">
      <c r="A20" s="254">
        <v>10</v>
      </c>
      <c r="B20" s="262" t="s">
        <v>667</v>
      </c>
      <c r="C20" s="274"/>
      <c r="D20" s="274">
        <f>'Kertas Kerja'!H110</f>
        <v>0</v>
      </c>
      <c r="E20" s="274"/>
      <c r="F20" s="270"/>
      <c r="G20" s="264">
        <f>'Kertas Kerja'!E116</f>
        <v>0</v>
      </c>
      <c r="H20" s="259"/>
      <c r="I20" s="274" t="s">
        <v>668</v>
      </c>
      <c r="J20" s="265">
        <v>2</v>
      </c>
      <c r="K20" s="274" t="s">
        <v>669</v>
      </c>
      <c r="L20" s="266">
        <v>2</v>
      </c>
    </row>
    <row r="21" spans="1:12" ht="300" customHeight="1" x14ac:dyDescent="0.25">
      <c r="A21" s="254">
        <v>11</v>
      </c>
      <c r="B21" s="262" t="s">
        <v>670</v>
      </c>
      <c r="C21" s="269"/>
      <c r="D21" s="269">
        <f>'Kertas Kerja'!H118</f>
        <v>0</v>
      </c>
      <c r="E21" s="269"/>
      <c r="F21" s="270"/>
      <c r="G21" s="264">
        <f>'Kertas Kerja'!E124</f>
        <v>0</v>
      </c>
      <c r="H21" s="259"/>
      <c r="I21" s="269" t="s">
        <v>671</v>
      </c>
      <c r="J21" s="265">
        <v>0</v>
      </c>
      <c r="K21" s="269" t="s">
        <v>672</v>
      </c>
      <c r="L21" s="266">
        <v>0</v>
      </c>
    </row>
    <row r="22" spans="1:12" ht="327.95" customHeight="1" x14ac:dyDescent="0.25">
      <c r="A22" s="254">
        <v>12</v>
      </c>
      <c r="B22" s="262" t="s">
        <v>673</v>
      </c>
      <c r="C22" s="274"/>
      <c r="D22" s="274">
        <f>'Kertas Kerja'!H126</f>
        <v>0</v>
      </c>
      <c r="E22" s="274"/>
      <c r="F22" s="270"/>
      <c r="G22" s="264">
        <f>'Kertas Kerja'!E132</f>
        <v>0</v>
      </c>
      <c r="H22" s="259"/>
      <c r="I22" s="274" t="s">
        <v>674</v>
      </c>
      <c r="J22" s="265">
        <v>0</v>
      </c>
      <c r="K22" s="274" t="s">
        <v>675</v>
      </c>
      <c r="L22" s="266">
        <v>0</v>
      </c>
    </row>
    <row r="23" spans="1:12" ht="409.6" customHeight="1" x14ac:dyDescent="0.25">
      <c r="A23" s="254">
        <v>13</v>
      </c>
      <c r="B23" s="262" t="s">
        <v>676</v>
      </c>
      <c r="C23" s="274"/>
      <c r="D23" s="274">
        <f>'Kertas Kerja'!H134</f>
        <v>0</v>
      </c>
      <c r="E23" s="274"/>
      <c r="F23" s="270"/>
      <c r="G23" s="264">
        <f>'Kertas Kerja'!E140</f>
        <v>0</v>
      </c>
      <c r="H23" s="259"/>
      <c r="I23" s="274" t="s">
        <v>677</v>
      </c>
      <c r="J23" s="265">
        <v>1</v>
      </c>
      <c r="K23" s="274" t="s">
        <v>678</v>
      </c>
      <c r="L23" s="266">
        <v>1</v>
      </c>
    </row>
    <row r="24" spans="1:12" ht="135" customHeight="1" x14ac:dyDescent="0.25">
      <c r="A24" s="254">
        <v>14</v>
      </c>
      <c r="B24" s="262" t="s">
        <v>679</v>
      </c>
      <c r="C24" s="274"/>
      <c r="D24" s="274">
        <f>'Kertas Kerja'!H142</f>
        <v>0</v>
      </c>
      <c r="E24" s="274"/>
      <c r="F24" s="270"/>
      <c r="G24" s="264">
        <f>'Kertas Kerja'!E160</f>
        <v>1.043809523809524</v>
      </c>
      <c r="H24" s="259"/>
      <c r="I24" s="274" t="s">
        <v>680</v>
      </c>
      <c r="J24" s="265">
        <v>1.04</v>
      </c>
      <c r="K24" s="274" t="s">
        <v>681</v>
      </c>
      <c r="L24" s="266">
        <v>1.04</v>
      </c>
    </row>
    <row r="25" spans="1:12" ht="105" customHeight="1" x14ac:dyDescent="0.25">
      <c r="A25" s="254">
        <v>15</v>
      </c>
      <c r="B25" s="262" t="s">
        <v>682</v>
      </c>
      <c r="C25" s="274"/>
      <c r="D25" s="274">
        <f>'Kertas Kerja'!H162</f>
        <v>0</v>
      </c>
      <c r="E25" s="274"/>
      <c r="F25" s="270"/>
      <c r="G25" s="264">
        <f>'Kertas Kerja'!E175</f>
        <v>0</v>
      </c>
      <c r="H25" s="259"/>
      <c r="I25" s="274" t="s">
        <v>683</v>
      </c>
      <c r="J25" s="265">
        <v>2</v>
      </c>
      <c r="K25" s="274" t="s">
        <v>684</v>
      </c>
      <c r="L25" s="266">
        <v>2.33</v>
      </c>
    </row>
    <row r="26" spans="1:12" ht="195" customHeight="1" x14ac:dyDescent="0.25">
      <c r="A26" s="254">
        <v>16</v>
      </c>
      <c r="B26" s="262" t="s">
        <v>685</v>
      </c>
      <c r="C26" s="274"/>
      <c r="D26" s="274">
        <f>'Kertas Kerja'!H177</f>
        <v>0</v>
      </c>
      <c r="E26" s="274"/>
      <c r="F26" s="270"/>
      <c r="G26" s="264">
        <f>'Kertas Kerja'!E189</f>
        <v>0</v>
      </c>
      <c r="H26" s="259"/>
      <c r="I26" s="274" t="s">
        <v>686</v>
      </c>
      <c r="J26" s="265">
        <v>1.17</v>
      </c>
      <c r="K26" s="274" t="s">
        <v>687</v>
      </c>
      <c r="L26" s="266">
        <v>1.17</v>
      </c>
    </row>
    <row r="27" spans="1:12" ht="90" customHeight="1" x14ac:dyDescent="0.25">
      <c r="A27" s="254">
        <v>17</v>
      </c>
      <c r="B27" s="262" t="s">
        <v>688</v>
      </c>
      <c r="C27" s="274"/>
      <c r="D27" s="274">
        <f>'Kertas Kerja'!H191</f>
        <v>0</v>
      </c>
      <c r="E27" s="274"/>
      <c r="F27" s="270"/>
      <c r="G27" s="264">
        <f>'Kertas Kerja'!E195</f>
        <v>2.6666666666666665</v>
      </c>
      <c r="H27" s="259"/>
      <c r="I27" s="274" t="s">
        <v>689</v>
      </c>
      <c r="J27" s="265">
        <v>2.67</v>
      </c>
      <c r="K27" s="274" t="s">
        <v>690</v>
      </c>
      <c r="L27" s="266">
        <v>2.67</v>
      </c>
    </row>
    <row r="28" spans="1:12" ht="30" customHeight="1" x14ac:dyDescent="0.25">
      <c r="A28" s="254">
        <v>18</v>
      </c>
      <c r="B28" s="262" t="s">
        <v>187</v>
      </c>
      <c r="C28" s="274"/>
      <c r="D28" s="274">
        <f>'Kertas Kerja'!H197</f>
        <v>0</v>
      </c>
      <c r="E28" s="274"/>
      <c r="F28" s="270"/>
      <c r="G28" s="264">
        <f>'Kertas Kerja'!E202</f>
        <v>3</v>
      </c>
      <c r="H28" s="259"/>
      <c r="I28" s="274" t="s">
        <v>691</v>
      </c>
      <c r="J28" s="265">
        <v>3</v>
      </c>
      <c r="K28" s="274" t="s">
        <v>692</v>
      </c>
      <c r="L28" s="266">
        <v>3</v>
      </c>
    </row>
    <row r="29" spans="1:12" ht="30" customHeight="1" x14ac:dyDescent="0.25">
      <c r="A29" s="254">
        <v>19</v>
      </c>
      <c r="B29" s="262" t="s">
        <v>190</v>
      </c>
      <c r="C29" s="274"/>
      <c r="D29" s="274">
        <f>'Kertas Kerja'!H211</f>
        <v>0</v>
      </c>
      <c r="E29" s="274"/>
      <c r="F29" s="270"/>
      <c r="G29" s="264">
        <f>'Kertas Kerja'!E218</f>
        <v>4</v>
      </c>
      <c r="H29" s="259"/>
      <c r="I29" s="274" t="s">
        <v>693</v>
      </c>
      <c r="J29" s="265">
        <v>4</v>
      </c>
      <c r="K29" s="274" t="s">
        <v>694</v>
      </c>
      <c r="L29" s="266">
        <v>4</v>
      </c>
    </row>
    <row r="30" spans="1:12" ht="75" customHeight="1" x14ac:dyDescent="0.25">
      <c r="A30" s="254">
        <v>20</v>
      </c>
      <c r="B30" s="262" t="s">
        <v>695</v>
      </c>
      <c r="C30" s="274"/>
      <c r="D30" s="274">
        <f>'Kertas Kerja'!H220</f>
        <v>0</v>
      </c>
      <c r="E30" s="274"/>
      <c r="F30" s="270"/>
      <c r="G30" s="264">
        <f>'Kertas Kerja'!E239</f>
        <v>0</v>
      </c>
      <c r="H30" s="259"/>
      <c r="I30" s="274" t="s">
        <v>696</v>
      </c>
      <c r="J30" s="265">
        <v>0</v>
      </c>
      <c r="K30" s="274" t="s">
        <v>697</v>
      </c>
      <c r="L30" s="266">
        <v>0</v>
      </c>
    </row>
    <row r="31" spans="1:12" ht="60" customHeight="1" x14ac:dyDescent="0.25">
      <c r="A31" s="254">
        <v>21</v>
      </c>
      <c r="B31" s="262" t="s">
        <v>208</v>
      </c>
      <c r="C31" s="274"/>
      <c r="D31" s="274">
        <f>'Kertas Kerja'!H241</f>
        <v>0</v>
      </c>
      <c r="E31" s="274"/>
      <c r="F31" s="270"/>
      <c r="G31" s="264">
        <f>'Kertas Kerja'!E247</f>
        <v>3.6583333333333252</v>
      </c>
      <c r="H31" s="259"/>
      <c r="I31" s="274" t="s">
        <v>698</v>
      </c>
      <c r="J31" s="265">
        <v>3.66</v>
      </c>
      <c r="K31" s="274" t="s">
        <v>699</v>
      </c>
      <c r="L31" s="266">
        <v>3.66</v>
      </c>
    </row>
    <row r="32" spans="1:12" ht="45" customHeight="1" x14ac:dyDescent="0.25">
      <c r="A32" s="254">
        <v>22</v>
      </c>
      <c r="B32" s="262" t="s">
        <v>212</v>
      </c>
      <c r="C32" s="274"/>
      <c r="D32" s="274">
        <f>'Kertas Kerja'!H249</f>
        <v>0</v>
      </c>
      <c r="E32" s="274"/>
      <c r="F32" s="270"/>
      <c r="G32" s="264">
        <f>'Kertas Kerja'!E257</f>
        <v>0.44444444444446651</v>
      </c>
      <c r="H32" s="259"/>
      <c r="I32" s="274" t="s">
        <v>700</v>
      </c>
      <c r="J32" s="265">
        <v>0.44</v>
      </c>
      <c r="K32" s="274" t="s">
        <v>701</v>
      </c>
      <c r="L32" s="266">
        <v>0.44</v>
      </c>
    </row>
    <row r="33" spans="1:12" ht="30" customHeight="1" x14ac:dyDescent="0.25">
      <c r="A33" s="254">
        <v>23</v>
      </c>
      <c r="B33" s="262" t="s">
        <v>217</v>
      </c>
      <c r="C33" s="274"/>
      <c r="D33" s="274">
        <f>'Kertas Kerja'!H259</f>
        <v>0</v>
      </c>
      <c r="E33" s="274"/>
      <c r="F33" s="270"/>
      <c r="G33" s="264">
        <f>'Kertas Kerja'!E265</f>
        <v>0</v>
      </c>
      <c r="H33" s="259"/>
      <c r="I33" s="274" t="s">
        <v>702</v>
      </c>
      <c r="J33" s="265">
        <v>0</v>
      </c>
      <c r="K33" s="274" t="s">
        <v>703</v>
      </c>
      <c r="L33" s="266">
        <v>0</v>
      </c>
    </row>
    <row r="34" spans="1:12" ht="75" customHeight="1" x14ac:dyDescent="0.25">
      <c r="A34" s="254">
        <v>24</v>
      </c>
      <c r="B34" s="262" t="s">
        <v>704</v>
      </c>
      <c r="C34" s="274"/>
      <c r="D34" s="274">
        <f>'Kertas Kerja'!H274</f>
        <v>0</v>
      </c>
      <c r="E34" s="274"/>
      <c r="F34" s="270"/>
      <c r="G34" s="264">
        <f>'Kertas Kerja'!E279</f>
        <v>2</v>
      </c>
      <c r="H34" s="259"/>
      <c r="I34" s="274" t="s">
        <v>705</v>
      </c>
      <c r="J34" s="265">
        <v>2</v>
      </c>
      <c r="K34" s="274" t="s">
        <v>706</v>
      </c>
      <c r="L34" s="266">
        <v>2</v>
      </c>
    </row>
    <row r="35" spans="1:12" ht="75" customHeight="1" x14ac:dyDescent="0.25">
      <c r="A35" s="254">
        <v>25</v>
      </c>
      <c r="B35" s="262" t="s">
        <v>225</v>
      </c>
      <c r="C35" s="274"/>
      <c r="D35" s="274">
        <f>'Kertas Kerja'!H281</f>
        <v>0</v>
      </c>
      <c r="E35" s="274"/>
      <c r="F35" s="270"/>
      <c r="G35" s="264">
        <f>'Kertas Kerja'!E297</f>
        <v>2</v>
      </c>
      <c r="H35" s="259"/>
      <c r="I35" s="274" t="s">
        <v>707</v>
      </c>
      <c r="J35" s="265">
        <v>2</v>
      </c>
      <c r="K35" s="274" t="s">
        <v>708</v>
      </c>
      <c r="L35" s="266">
        <v>2</v>
      </c>
    </row>
    <row r="36" spans="1:12" ht="75" customHeight="1" x14ac:dyDescent="0.25">
      <c r="A36" s="254">
        <v>26</v>
      </c>
      <c r="B36" s="262" t="s">
        <v>237</v>
      </c>
      <c r="C36" s="274"/>
      <c r="D36" s="274">
        <f>'Kertas Kerja'!H299</f>
        <v>0</v>
      </c>
      <c r="E36" s="274"/>
      <c r="F36" s="270"/>
      <c r="G36" s="264">
        <f>'Kertas Kerja'!E315</f>
        <v>2</v>
      </c>
      <c r="H36" s="259"/>
      <c r="I36" s="274" t="s">
        <v>709</v>
      </c>
      <c r="J36" s="265">
        <v>2</v>
      </c>
      <c r="K36" s="274" t="s">
        <v>710</v>
      </c>
      <c r="L36" s="266">
        <v>2</v>
      </c>
    </row>
    <row r="37" spans="1:12" ht="90" customHeight="1" x14ac:dyDescent="0.25">
      <c r="A37" s="254">
        <v>27</v>
      </c>
      <c r="B37" s="274" t="s">
        <v>241</v>
      </c>
      <c r="C37" s="274"/>
      <c r="D37" s="274">
        <f>'Kertas Kerja'!H317</f>
        <v>0</v>
      </c>
      <c r="E37" s="274"/>
      <c r="F37" s="270"/>
      <c r="G37" s="264">
        <f>'Kertas Kerja'!E340</f>
        <v>4</v>
      </c>
      <c r="H37" s="259"/>
      <c r="I37" s="274" t="s">
        <v>711</v>
      </c>
      <c r="J37" s="265">
        <v>4</v>
      </c>
      <c r="K37" s="274" t="s">
        <v>712</v>
      </c>
      <c r="L37" s="266">
        <v>4</v>
      </c>
    </row>
    <row r="38" spans="1:12" ht="60" customHeight="1" x14ac:dyDescent="0.25">
      <c r="A38" s="254">
        <v>28</v>
      </c>
      <c r="B38" s="275" t="s">
        <v>255</v>
      </c>
      <c r="C38" s="274"/>
      <c r="D38" s="274">
        <f>'Kertas Kerja'!H342</f>
        <v>0</v>
      </c>
      <c r="E38" s="274"/>
      <c r="F38" s="270"/>
      <c r="G38" s="264">
        <f>'Kertas Kerja'!E347</f>
        <v>4</v>
      </c>
      <c r="H38" s="259"/>
      <c r="I38" s="274" t="s">
        <v>713</v>
      </c>
      <c r="J38" s="265">
        <v>4</v>
      </c>
      <c r="K38" s="274" t="s">
        <v>714</v>
      </c>
      <c r="L38" s="266">
        <v>4</v>
      </c>
    </row>
    <row r="39" spans="1:12" ht="60" customHeight="1" x14ac:dyDescent="0.25">
      <c r="A39" s="254">
        <v>29</v>
      </c>
      <c r="B39" s="275" t="s">
        <v>258</v>
      </c>
      <c r="C39" s="276"/>
      <c r="D39" s="276">
        <f>'Kertas Kerja'!H356</f>
        <v>0</v>
      </c>
      <c r="E39" s="276"/>
      <c r="F39" s="277"/>
      <c r="G39" s="278">
        <f>'Kertas Kerja'!E364</f>
        <v>2</v>
      </c>
      <c r="I39" s="276" t="s">
        <v>715</v>
      </c>
      <c r="J39" s="279">
        <v>2</v>
      </c>
      <c r="K39" s="276" t="s">
        <v>716</v>
      </c>
      <c r="L39" s="280">
        <v>2</v>
      </c>
    </row>
    <row r="40" spans="1:12" ht="60" customHeight="1" x14ac:dyDescent="0.25">
      <c r="A40" s="254">
        <v>30</v>
      </c>
      <c r="B40" s="262" t="s">
        <v>717</v>
      </c>
      <c r="C40" s="276"/>
      <c r="D40" s="276">
        <f>'Kertas Kerja'!H366</f>
        <v>0</v>
      </c>
      <c r="E40" s="276"/>
      <c r="F40" s="277"/>
      <c r="G40" s="281">
        <f>'Kertas Kerja'!E373</f>
        <v>0</v>
      </c>
      <c r="I40" s="276" t="s">
        <v>718</v>
      </c>
      <c r="J40" s="282">
        <v>1.5</v>
      </c>
      <c r="K40" s="276" t="s">
        <v>719</v>
      </c>
      <c r="L40" s="283">
        <v>1.5</v>
      </c>
    </row>
    <row r="41" spans="1:12" ht="210" customHeight="1" x14ac:dyDescent="0.25">
      <c r="A41" s="254">
        <v>31</v>
      </c>
      <c r="B41" s="262" t="s">
        <v>720</v>
      </c>
      <c r="C41" s="276"/>
      <c r="D41" s="276">
        <f>'Kertas Kerja'!H375</f>
        <v>0</v>
      </c>
      <c r="E41" s="276"/>
      <c r="F41" s="277"/>
      <c r="G41" s="278">
        <f>'Kertas Kerja'!E387</f>
        <v>0</v>
      </c>
      <c r="I41" s="276" t="s">
        <v>721</v>
      </c>
      <c r="J41" s="279">
        <v>2.67</v>
      </c>
      <c r="K41" s="276" t="s">
        <v>722</v>
      </c>
      <c r="L41" s="280">
        <v>2.67</v>
      </c>
    </row>
    <row r="42" spans="1:12" ht="120" customHeight="1" x14ac:dyDescent="0.25">
      <c r="A42" s="254">
        <v>32</v>
      </c>
      <c r="B42" s="262" t="s">
        <v>723</v>
      </c>
      <c r="C42" s="284"/>
      <c r="D42" s="284">
        <f>'Kertas Kerja'!H389</f>
        <v>0</v>
      </c>
      <c r="E42" s="284"/>
      <c r="F42" s="285"/>
      <c r="G42" s="278">
        <f>'Kertas Kerja'!E394</f>
        <v>6.2513455657492348E-2</v>
      </c>
      <c r="I42" s="284" t="s">
        <v>724</v>
      </c>
      <c r="J42" s="279">
        <v>0.06</v>
      </c>
      <c r="K42" s="284" t="s">
        <v>725</v>
      </c>
      <c r="L42" s="280">
        <v>0.06</v>
      </c>
    </row>
    <row r="43" spans="1:12" ht="30" customHeight="1" x14ac:dyDescent="0.25">
      <c r="A43" s="254">
        <v>33</v>
      </c>
      <c r="B43" s="262" t="s">
        <v>291</v>
      </c>
      <c r="C43" s="286"/>
      <c r="D43" s="286">
        <f>'Kertas Kerja'!H396</f>
        <v>0</v>
      </c>
      <c r="E43" s="286"/>
      <c r="F43" s="287"/>
      <c r="G43" s="278">
        <f>'Kertas Kerja'!E401</f>
        <v>0.39999999999999997</v>
      </c>
      <c r="I43" s="286" t="s">
        <v>726</v>
      </c>
      <c r="J43" s="279">
        <v>0.4</v>
      </c>
      <c r="K43" s="286" t="s">
        <v>725</v>
      </c>
      <c r="L43" s="280">
        <v>0.4</v>
      </c>
    </row>
    <row r="44" spans="1:12" ht="45" customHeight="1" x14ac:dyDescent="0.25">
      <c r="A44" s="254">
        <v>34</v>
      </c>
      <c r="B44" s="262" t="s">
        <v>294</v>
      </c>
      <c r="C44" s="288"/>
      <c r="D44" s="288">
        <f>'Kertas Kerja'!H403</f>
        <v>0</v>
      </c>
      <c r="E44" s="288"/>
      <c r="F44" s="285"/>
      <c r="G44" s="278">
        <f>'Kertas Kerja'!E408</f>
        <v>1.0172839555555555</v>
      </c>
      <c r="I44" s="288" t="s">
        <v>727</v>
      </c>
      <c r="J44" s="279">
        <v>1.02</v>
      </c>
      <c r="K44" s="288" t="s">
        <v>725</v>
      </c>
      <c r="L44" s="280">
        <v>1.02</v>
      </c>
    </row>
    <row r="45" spans="1:12" ht="75" customHeight="1" x14ac:dyDescent="0.25">
      <c r="A45" s="254">
        <v>35</v>
      </c>
      <c r="B45" s="262" t="s">
        <v>728</v>
      </c>
      <c r="C45" s="288"/>
      <c r="D45" s="288">
        <f>'Kertas Kerja'!H410</f>
        <v>0</v>
      </c>
      <c r="E45" s="288"/>
      <c r="F45" s="285"/>
      <c r="G45" s="278">
        <f>'Kertas Kerja'!E417</f>
        <v>0</v>
      </c>
      <c r="I45" s="288" t="s">
        <v>729</v>
      </c>
      <c r="J45" s="279">
        <v>1.5</v>
      </c>
      <c r="K45" s="288" t="s">
        <v>730</v>
      </c>
      <c r="L45" s="280">
        <v>2</v>
      </c>
    </row>
    <row r="46" spans="1:12" ht="45" customHeight="1" x14ac:dyDescent="0.25">
      <c r="A46" s="254">
        <v>36</v>
      </c>
      <c r="B46" s="262" t="s">
        <v>304</v>
      </c>
      <c r="C46" s="288"/>
      <c r="D46" s="288">
        <f>'Kertas Kerja'!H419</f>
        <v>0</v>
      </c>
      <c r="E46" s="288"/>
      <c r="F46" s="285"/>
      <c r="G46" s="278">
        <f>'Kertas Kerja'!E425</f>
        <v>0</v>
      </c>
      <c r="I46" s="288" t="s">
        <v>731</v>
      </c>
      <c r="J46" s="279">
        <v>1.5</v>
      </c>
      <c r="K46" s="288" t="s">
        <v>732</v>
      </c>
      <c r="L46" s="280">
        <v>1.5</v>
      </c>
    </row>
    <row r="47" spans="1:12" ht="135" customHeight="1" x14ac:dyDescent="0.25">
      <c r="A47" s="254">
        <v>37</v>
      </c>
      <c r="B47" s="262" t="s">
        <v>733</v>
      </c>
      <c r="C47" s="269"/>
      <c r="D47" s="269">
        <f>'Kertas Kerja'!H427</f>
        <v>0</v>
      </c>
      <c r="E47" s="269"/>
      <c r="F47" s="270"/>
      <c r="G47" s="289">
        <f>'Kertas Kerja'!E433</f>
        <v>0</v>
      </c>
      <c r="I47" s="269" t="s">
        <v>734</v>
      </c>
      <c r="J47" s="290">
        <v>2</v>
      </c>
      <c r="K47" s="269" t="s">
        <v>735</v>
      </c>
      <c r="L47" s="291">
        <v>2</v>
      </c>
    </row>
    <row r="48" spans="1:12" ht="240" customHeight="1" x14ac:dyDescent="0.25">
      <c r="A48" s="254">
        <v>38</v>
      </c>
      <c r="B48" s="262" t="s">
        <v>736</v>
      </c>
      <c r="C48" s="269"/>
      <c r="D48" s="269">
        <f>'Kertas Kerja'!H435</f>
        <v>0</v>
      </c>
      <c r="E48" s="269"/>
      <c r="F48" s="270"/>
      <c r="G48" s="289">
        <f>'Kertas Kerja'!E453</f>
        <v>0</v>
      </c>
      <c r="I48" s="269" t="s">
        <v>737</v>
      </c>
      <c r="J48" s="290">
        <v>2.5</v>
      </c>
      <c r="K48" s="269" t="s">
        <v>738</v>
      </c>
      <c r="L48" s="291">
        <v>2.4</v>
      </c>
    </row>
    <row r="49" spans="1:12" ht="165" customHeight="1" x14ac:dyDescent="0.25">
      <c r="A49" s="254">
        <v>39</v>
      </c>
      <c r="B49" s="262" t="s">
        <v>739</v>
      </c>
      <c r="C49" s="269"/>
      <c r="D49" s="269">
        <f>'Kertas Kerja'!H455</f>
        <v>0</v>
      </c>
      <c r="E49" s="269"/>
      <c r="F49" s="270"/>
      <c r="G49" s="289">
        <f>'Kertas Kerja'!E461</f>
        <v>0</v>
      </c>
      <c r="I49" s="269" t="s">
        <v>740</v>
      </c>
      <c r="J49" s="290">
        <v>2.5</v>
      </c>
      <c r="K49" s="269" t="s">
        <v>741</v>
      </c>
      <c r="L49" s="291">
        <v>2.5</v>
      </c>
    </row>
    <row r="50" spans="1:12" ht="135" customHeight="1" x14ac:dyDescent="0.25">
      <c r="A50" s="254">
        <v>40</v>
      </c>
      <c r="B50" s="262" t="s">
        <v>742</v>
      </c>
      <c r="C50" s="274"/>
      <c r="D50" s="274">
        <f>'Kertas Kerja'!H463</f>
        <v>0</v>
      </c>
      <c r="E50" s="274"/>
      <c r="F50" s="270"/>
      <c r="G50" s="289">
        <f>'Kertas Kerja'!E475</f>
        <v>0</v>
      </c>
      <c r="I50" s="274" t="s">
        <v>743</v>
      </c>
      <c r="J50" s="290">
        <v>1.33</v>
      </c>
      <c r="K50" s="274" t="s">
        <v>744</v>
      </c>
      <c r="L50" s="291">
        <v>1.17</v>
      </c>
    </row>
    <row r="51" spans="1:12" ht="409.6" customHeight="1" x14ac:dyDescent="0.25">
      <c r="A51" s="254">
        <v>41</v>
      </c>
      <c r="B51" s="262" t="s">
        <v>745</v>
      </c>
      <c r="C51" s="269"/>
      <c r="D51" s="269">
        <f>'Kertas Kerja'!H477</f>
        <v>0</v>
      </c>
      <c r="E51" s="269"/>
      <c r="F51" s="270"/>
      <c r="G51" s="289">
        <f>'Kertas Kerja'!E507</f>
        <v>0</v>
      </c>
      <c r="I51" s="269" t="s">
        <v>746</v>
      </c>
      <c r="J51" s="290">
        <v>1.22</v>
      </c>
      <c r="K51" s="269" t="s">
        <v>747</v>
      </c>
      <c r="L51" s="291">
        <v>1.17</v>
      </c>
    </row>
    <row r="52" spans="1:12" ht="90" customHeight="1" x14ac:dyDescent="0.25">
      <c r="A52" s="254">
        <v>42</v>
      </c>
      <c r="B52" s="262" t="s">
        <v>382</v>
      </c>
      <c r="C52" s="274"/>
      <c r="D52" s="274">
        <f>'Kertas Kerja'!H509</f>
        <v>0</v>
      </c>
      <c r="E52" s="274"/>
      <c r="F52" s="270"/>
      <c r="G52" s="289">
        <f>'Kertas Kerja'!E514</f>
        <v>1.5094339622641508</v>
      </c>
      <c r="I52" s="274" t="s">
        <v>748</v>
      </c>
      <c r="J52" s="290">
        <v>1.51</v>
      </c>
      <c r="K52" s="274" t="s">
        <v>749</v>
      </c>
      <c r="L52" s="291">
        <v>1.51</v>
      </c>
    </row>
    <row r="53" spans="1:12" ht="180" customHeight="1" x14ac:dyDescent="0.25">
      <c r="A53" s="254">
        <v>43</v>
      </c>
      <c r="B53" s="262" t="s">
        <v>750</v>
      </c>
      <c r="C53" s="274"/>
      <c r="D53" s="274">
        <f>'Kertas Kerja'!H516</f>
        <v>0</v>
      </c>
      <c r="E53" s="274"/>
      <c r="F53" s="270"/>
      <c r="G53" s="289">
        <f>'Kertas Kerja'!E522</f>
        <v>0</v>
      </c>
      <c r="I53" s="274" t="s">
        <v>751</v>
      </c>
      <c r="J53" s="290">
        <v>0</v>
      </c>
      <c r="K53" s="274" t="s">
        <v>752</v>
      </c>
      <c r="L53" s="291">
        <v>0</v>
      </c>
    </row>
    <row r="54" spans="1:12" ht="409.6" customHeight="1" x14ac:dyDescent="0.25">
      <c r="A54" s="254">
        <v>44</v>
      </c>
      <c r="B54" s="262" t="s">
        <v>753</v>
      </c>
      <c r="C54" s="274"/>
      <c r="D54" s="274">
        <f>'Kertas Kerja'!H524</f>
        <v>0</v>
      </c>
      <c r="E54" s="274"/>
      <c r="F54" s="270"/>
      <c r="G54" s="289">
        <f>'Kertas Kerja'!E554</f>
        <v>0</v>
      </c>
      <c r="I54" s="274" t="s">
        <v>754</v>
      </c>
      <c r="J54" s="290">
        <v>0.2</v>
      </c>
      <c r="K54" s="274" t="s">
        <v>755</v>
      </c>
      <c r="L54" s="291">
        <v>0.2</v>
      </c>
    </row>
    <row r="55" spans="1:12" ht="120" customHeight="1" x14ac:dyDescent="0.25">
      <c r="A55" s="254">
        <v>45</v>
      </c>
      <c r="B55" s="262" t="s">
        <v>756</v>
      </c>
      <c r="C55" s="274"/>
      <c r="D55" s="274">
        <f>'Kertas Kerja'!H556</f>
        <v>0</v>
      </c>
      <c r="E55" s="274"/>
      <c r="F55" s="270"/>
      <c r="G55" s="289">
        <f>'Kertas Kerja'!E562</f>
        <v>2</v>
      </c>
      <c r="I55" s="274" t="s">
        <v>757</v>
      </c>
      <c r="J55" s="290">
        <v>2</v>
      </c>
      <c r="K55" s="274" t="s">
        <v>725</v>
      </c>
      <c r="L55" s="291">
        <v>2</v>
      </c>
    </row>
    <row r="56" spans="1:12" ht="180" customHeight="1" x14ac:dyDescent="0.25">
      <c r="A56" s="254">
        <v>46</v>
      </c>
      <c r="B56" s="262" t="s">
        <v>758</v>
      </c>
      <c r="C56" s="274"/>
      <c r="D56" s="274">
        <f>'Kertas Kerja'!H564</f>
        <v>0</v>
      </c>
      <c r="E56" s="274"/>
      <c r="F56" s="270"/>
      <c r="G56" s="289">
        <f>'Kertas Kerja'!E570</f>
        <v>0</v>
      </c>
      <c r="I56" s="274" t="s">
        <v>759</v>
      </c>
      <c r="J56" s="290">
        <v>1</v>
      </c>
      <c r="K56" s="274" t="s">
        <v>760</v>
      </c>
      <c r="L56" s="291">
        <v>1</v>
      </c>
    </row>
    <row r="57" spans="1:12" ht="135" customHeight="1" x14ac:dyDescent="0.25">
      <c r="A57" s="254">
        <v>47</v>
      </c>
      <c r="B57" s="262" t="s">
        <v>761</v>
      </c>
      <c r="C57" s="274"/>
      <c r="D57" s="274">
        <f>'Kertas Kerja'!H572</f>
        <v>0</v>
      </c>
      <c r="E57" s="274"/>
      <c r="F57" s="270"/>
      <c r="G57" s="289">
        <f>'Kertas Kerja'!E609</f>
        <v>3.5866666666666664</v>
      </c>
      <c r="I57" s="274" t="s">
        <v>762</v>
      </c>
      <c r="J57" s="290">
        <v>1.59</v>
      </c>
      <c r="K57" s="274" t="s">
        <v>763</v>
      </c>
      <c r="L57" s="291">
        <v>1.59</v>
      </c>
    </row>
    <row r="58" spans="1:12" ht="384" customHeight="1" x14ac:dyDescent="0.25">
      <c r="A58" s="254">
        <v>48</v>
      </c>
      <c r="B58" s="262" t="s">
        <v>764</v>
      </c>
      <c r="C58" s="274"/>
      <c r="D58" s="274">
        <f>'Kertas Kerja'!H611</f>
        <v>0</v>
      </c>
      <c r="E58" s="274"/>
      <c r="F58" s="270"/>
      <c r="G58" s="289">
        <f>'Kertas Kerja'!E617</f>
        <v>0</v>
      </c>
      <c r="I58" s="274" t="s">
        <v>765</v>
      </c>
      <c r="J58" s="290">
        <v>0</v>
      </c>
      <c r="K58" s="274" t="s">
        <v>766</v>
      </c>
      <c r="L58" s="291">
        <v>0</v>
      </c>
    </row>
    <row r="59" spans="1:12" ht="120" customHeight="1" x14ac:dyDescent="0.25">
      <c r="A59" s="254">
        <v>49</v>
      </c>
      <c r="B59" s="262" t="s">
        <v>767</v>
      </c>
      <c r="C59" s="274"/>
      <c r="D59" s="274">
        <f>'Kertas Kerja'!H619</f>
        <v>0</v>
      </c>
      <c r="E59" s="274"/>
      <c r="F59" s="270"/>
      <c r="G59" s="289">
        <f>'Kertas Kerja'!E624</f>
        <v>3.333333333333333</v>
      </c>
      <c r="I59" s="274" t="s">
        <v>768</v>
      </c>
      <c r="J59" s="290">
        <v>3.33</v>
      </c>
      <c r="K59" s="274" t="s">
        <v>725</v>
      </c>
      <c r="L59" s="291">
        <v>3.33</v>
      </c>
    </row>
    <row r="60" spans="1:12" ht="356.1" customHeight="1" x14ac:dyDescent="0.25">
      <c r="A60" s="254">
        <v>50</v>
      </c>
      <c r="B60" s="262" t="s">
        <v>769</v>
      </c>
      <c r="C60" s="274"/>
      <c r="D60" s="274">
        <f>'Kertas Kerja'!H633</f>
        <v>0</v>
      </c>
      <c r="E60" s="274"/>
      <c r="F60" s="270"/>
      <c r="G60" s="289">
        <f>'Kertas Kerja'!E639</f>
        <v>0</v>
      </c>
      <c r="I60" s="274" t="s">
        <v>770</v>
      </c>
      <c r="J60" s="290">
        <v>0</v>
      </c>
      <c r="K60" s="274" t="s">
        <v>771</v>
      </c>
      <c r="L60" s="291">
        <v>0</v>
      </c>
    </row>
    <row r="61" spans="1:12" ht="120" customHeight="1" x14ac:dyDescent="0.25">
      <c r="A61" s="254">
        <v>51</v>
      </c>
      <c r="B61" s="262" t="s">
        <v>772</v>
      </c>
      <c r="C61" s="274"/>
      <c r="D61" s="274">
        <f>'Kertas Kerja'!H641</f>
        <v>0</v>
      </c>
      <c r="E61" s="274"/>
      <c r="F61" s="270"/>
      <c r="G61" s="289">
        <f>'Kertas Kerja'!E646</f>
        <v>3.333333333333333</v>
      </c>
      <c r="I61" s="274" t="s">
        <v>773</v>
      </c>
      <c r="J61" s="290">
        <v>3.33</v>
      </c>
      <c r="K61" s="274" t="s">
        <v>774</v>
      </c>
      <c r="L61" s="291">
        <v>3.33</v>
      </c>
    </row>
    <row r="62" spans="1:12" ht="270" customHeight="1" x14ac:dyDescent="0.25">
      <c r="A62" s="254">
        <v>52</v>
      </c>
      <c r="B62" s="262" t="s">
        <v>775</v>
      </c>
      <c r="C62" s="274"/>
      <c r="D62" s="274">
        <f>'Kertas Kerja'!H648</f>
        <v>0</v>
      </c>
      <c r="E62" s="274"/>
      <c r="F62" s="270"/>
      <c r="G62" s="289">
        <f>'Kertas Kerja'!E654</f>
        <v>0</v>
      </c>
      <c r="I62" s="274" t="s">
        <v>776</v>
      </c>
      <c r="J62" s="290">
        <v>1</v>
      </c>
      <c r="K62" s="274" t="s">
        <v>777</v>
      </c>
      <c r="L62" s="291">
        <v>1</v>
      </c>
    </row>
    <row r="63" spans="1:12" ht="30" customHeight="1" x14ac:dyDescent="0.25">
      <c r="A63" s="254">
        <v>53</v>
      </c>
      <c r="B63" s="262" t="s">
        <v>470</v>
      </c>
      <c r="C63" s="274"/>
      <c r="D63" s="274">
        <f>'Kertas Kerja'!H656</f>
        <v>0</v>
      </c>
      <c r="E63" s="274"/>
      <c r="F63" s="270"/>
      <c r="G63" s="289">
        <f>'Kertas Kerja'!E666</f>
        <v>4</v>
      </c>
      <c r="I63" s="274" t="s">
        <v>778</v>
      </c>
      <c r="J63" s="290">
        <v>0</v>
      </c>
      <c r="K63" s="274" t="s">
        <v>779</v>
      </c>
      <c r="L63" s="291">
        <v>0</v>
      </c>
    </row>
    <row r="64" spans="1:12" ht="60" customHeight="1" x14ac:dyDescent="0.25">
      <c r="A64" s="254">
        <v>54</v>
      </c>
      <c r="B64" s="262" t="s">
        <v>481</v>
      </c>
      <c r="C64" s="274"/>
      <c r="D64" s="274">
        <f>'Kertas Kerja'!H668</f>
        <v>0</v>
      </c>
      <c r="E64" s="274"/>
      <c r="F64" s="270"/>
      <c r="G64" s="289">
        <f>'Kertas Kerja'!E684</f>
        <v>0</v>
      </c>
      <c r="I64" s="274" t="s">
        <v>780</v>
      </c>
      <c r="J64" s="290">
        <v>0</v>
      </c>
      <c r="K64" s="274" t="s">
        <v>781</v>
      </c>
      <c r="L64" s="291">
        <v>0</v>
      </c>
    </row>
    <row r="65" spans="1:12" ht="60" customHeight="1" x14ac:dyDescent="0.25">
      <c r="A65" s="254">
        <v>55</v>
      </c>
      <c r="B65" s="262" t="s">
        <v>490</v>
      </c>
      <c r="C65" s="274"/>
      <c r="D65" s="274">
        <f>'Kertas Kerja'!H686</f>
        <v>0</v>
      </c>
      <c r="E65" s="274"/>
      <c r="F65" s="270"/>
      <c r="G65" s="289">
        <f>'Kertas Kerja'!E702</f>
        <v>0.68807339449541283</v>
      </c>
      <c r="I65" s="274" t="s">
        <v>782</v>
      </c>
      <c r="J65" s="290">
        <v>0.69</v>
      </c>
      <c r="K65" s="274" t="s">
        <v>783</v>
      </c>
      <c r="L65" s="291">
        <v>0.69</v>
      </c>
    </row>
    <row r="66" spans="1:12" ht="30" customHeight="1" x14ac:dyDescent="0.25">
      <c r="A66" s="254">
        <v>56</v>
      </c>
      <c r="B66" s="262" t="s">
        <v>494</v>
      </c>
      <c r="C66" s="274"/>
      <c r="D66" s="274">
        <f>'Kertas Kerja'!H704</f>
        <v>0</v>
      </c>
      <c r="E66" s="274"/>
      <c r="F66" s="270"/>
      <c r="G66" s="289">
        <f>'Kertas Kerja'!E716</f>
        <v>0</v>
      </c>
      <c r="I66" s="274" t="s">
        <v>784</v>
      </c>
      <c r="J66" s="290">
        <v>1.6</v>
      </c>
      <c r="K66" s="274" t="s">
        <v>785</v>
      </c>
      <c r="L66" s="291">
        <v>1.6</v>
      </c>
    </row>
    <row r="67" spans="1:12" ht="30" customHeight="1" x14ac:dyDescent="0.25">
      <c r="A67" s="254">
        <v>57</v>
      </c>
      <c r="B67" s="262" t="s">
        <v>504</v>
      </c>
      <c r="C67" s="274"/>
      <c r="D67" s="274">
        <f>'Kertas Kerja'!H718</f>
        <v>0</v>
      </c>
      <c r="E67" s="274"/>
      <c r="F67" s="270"/>
      <c r="G67" s="289">
        <f>'Kertas Kerja'!E731</f>
        <v>1.1573770491803279</v>
      </c>
      <c r="I67" s="274" t="s">
        <v>784</v>
      </c>
      <c r="J67" s="290">
        <v>1.1599999999999999</v>
      </c>
      <c r="K67" s="274" t="s">
        <v>786</v>
      </c>
      <c r="L67" s="291">
        <v>1.1599999999999999</v>
      </c>
    </row>
    <row r="68" spans="1:12" ht="30" customHeight="1" x14ac:dyDescent="0.25">
      <c r="A68" s="254">
        <v>58</v>
      </c>
      <c r="B68" s="262" t="s">
        <v>514</v>
      </c>
      <c r="C68" s="274"/>
      <c r="D68" s="274">
        <f>'Kertas Kerja'!H733</f>
        <v>0</v>
      </c>
      <c r="E68" s="274"/>
      <c r="F68" s="270"/>
      <c r="G68" s="289">
        <f>'Kertas Kerja'!E743</f>
        <v>0</v>
      </c>
      <c r="I68" s="274" t="s">
        <v>784</v>
      </c>
      <c r="J68" s="290">
        <v>0</v>
      </c>
      <c r="K68" s="274" t="s">
        <v>725</v>
      </c>
      <c r="L68" s="291">
        <v>0</v>
      </c>
    </row>
    <row r="69" spans="1:12" ht="285" customHeight="1" x14ac:dyDescent="0.25">
      <c r="A69" s="254">
        <v>59</v>
      </c>
      <c r="B69" s="262" t="s">
        <v>787</v>
      </c>
      <c r="C69" s="274"/>
      <c r="D69" s="274">
        <f>'Kertas Kerja'!H745</f>
        <v>0</v>
      </c>
      <c r="E69" s="274"/>
      <c r="F69" s="270"/>
      <c r="G69" s="289">
        <f>'Kertas Kerja'!E751</f>
        <v>0</v>
      </c>
      <c r="I69" s="274" t="s">
        <v>788</v>
      </c>
      <c r="J69" s="290">
        <v>0</v>
      </c>
      <c r="K69" s="274" t="s">
        <v>789</v>
      </c>
      <c r="L69" s="291">
        <v>0</v>
      </c>
    </row>
    <row r="70" spans="1:12" ht="30" customHeight="1" x14ac:dyDescent="0.25">
      <c r="A70" s="254">
        <v>60</v>
      </c>
      <c r="B70" s="262" t="s">
        <v>790</v>
      </c>
      <c r="C70" s="274"/>
      <c r="D70" s="274">
        <f>'Kertas Kerja'!H753</f>
        <v>0</v>
      </c>
      <c r="E70" s="274"/>
      <c r="F70" s="270"/>
      <c r="G70" s="289">
        <f>'Kertas Kerja'!E781</f>
        <v>2</v>
      </c>
      <c r="I70" s="274" t="s">
        <v>791</v>
      </c>
      <c r="J70" s="290">
        <v>2</v>
      </c>
      <c r="K70" s="274" t="s">
        <v>725</v>
      </c>
      <c r="L70" s="291">
        <v>2</v>
      </c>
    </row>
    <row r="71" spans="1:12" ht="30" customHeight="1" x14ac:dyDescent="0.25">
      <c r="A71" s="254">
        <v>61</v>
      </c>
      <c r="B71" s="262" t="s">
        <v>551</v>
      </c>
      <c r="C71" s="274"/>
      <c r="D71" s="274">
        <f>'Kertas Kerja'!H783</f>
        <v>0</v>
      </c>
      <c r="E71" s="274"/>
      <c r="F71" s="270"/>
      <c r="G71" s="289">
        <f>'Kertas Kerja'!E809</f>
        <v>2.9473684210526314</v>
      </c>
      <c r="I71" s="274" t="s">
        <v>792</v>
      </c>
      <c r="J71" s="290">
        <v>2.95</v>
      </c>
      <c r="K71" s="274" t="s">
        <v>725</v>
      </c>
      <c r="L71" s="291">
        <v>2.95</v>
      </c>
    </row>
    <row r="72" spans="1:12" ht="45" customHeight="1" x14ac:dyDescent="0.25">
      <c r="A72" s="254">
        <v>62</v>
      </c>
      <c r="B72" s="262" t="s">
        <v>563</v>
      </c>
      <c r="C72" s="274"/>
      <c r="D72" s="274">
        <f>'Kertas Kerja'!H811</f>
        <v>0</v>
      </c>
      <c r="E72" s="274"/>
      <c r="F72" s="270"/>
      <c r="G72" s="289">
        <f>'Kertas Kerja'!E843</f>
        <v>0</v>
      </c>
      <c r="I72" s="274" t="s">
        <v>793</v>
      </c>
      <c r="J72" s="290">
        <v>0</v>
      </c>
      <c r="K72" s="274" t="s">
        <v>725</v>
      </c>
      <c r="L72" s="291">
        <v>0</v>
      </c>
    </row>
    <row r="73" spans="1:12" ht="45" customHeight="1" x14ac:dyDescent="0.25">
      <c r="A73" s="254">
        <v>63</v>
      </c>
      <c r="B73" s="262" t="s">
        <v>578</v>
      </c>
      <c r="C73" s="274"/>
      <c r="D73" s="274">
        <f>'Kertas Kerja'!H845</f>
        <v>0</v>
      </c>
      <c r="E73" s="274"/>
      <c r="F73" s="270"/>
      <c r="G73" s="289">
        <f>'Kertas Kerja'!E892</f>
        <v>0</v>
      </c>
      <c r="I73" s="274" t="s">
        <v>794</v>
      </c>
      <c r="J73" s="290">
        <v>0</v>
      </c>
      <c r="K73" s="274" t="s">
        <v>725</v>
      </c>
      <c r="L73" s="291">
        <v>0</v>
      </c>
    </row>
    <row r="74" spans="1:12" ht="150" customHeight="1" x14ac:dyDescent="0.25">
      <c r="A74" s="254">
        <v>64</v>
      </c>
      <c r="B74" s="262" t="s">
        <v>795</v>
      </c>
      <c r="C74" s="274"/>
      <c r="D74" s="274">
        <f>'Kertas Kerja'!H894</f>
        <v>0</v>
      </c>
      <c r="E74" s="274"/>
      <c r="F74" s="270"/>
      <c r="G74" s="289">
        <f>'Kertas Kerja'!E917</f>
        <v>2.6422018348623855</v>
      </c>
      <c r="I74" s="274" t="s">
        <v>796</v>
      </c>
      <c r="J74" s="290">
        <v>2.64</v>
      </c>
      <c r="K74" s="274" t="s">
        <v>725</v>
      </c>
      <c r="L74" s="291">
        <v>2.64</v>
      </c>
    </row>
    <row r="75" spans="1:12" ht="90" customHeight="1" x14ac:dyDescent="0.25">
      <c r="A75" s="254">
        <v>65</v>
      </c>
      <c r="B75" s="262" t="s">
        <v>596</v>
      </c>
      <c r="C75" s="274"/>
      <c r="D75" s="274">
        <f>'Kertas Kerja'!H929</f>
        <v>0</v>
      </c>
      <c r="E75" s="274"/>
      <c r="F75" s="270"/>
      <c r="G75" s="289">
        <f>'Kertas Kerja'!E936</f>
        <v>2</v>
      </c>
      <c r="I75" s="274" t="s">
        <v>796</v>
      </c>
      <c r="J75" s="290">
        <v>2</v>
      </c>
      <c r="K75" s="274" t="s">
        <v>725</v>
      </c>
      <c r="L75" s="291">
        <v>2</v>
      </c>
    </row>
    <row r="76" spans="1:12" ht="180" customHeight="1" x14ac:dyDescent="0.25">
      <c r="A76" s="292">
        <v>66</v>
      </c>
      <c r="B76" s="293" t="s">
        <v>797</v>
      </c>
      <c r="C76" s="274"/>
      <c r="D76" s="274">
        <f>'Kertas Kerja'!H938</f>
        <v>0</v>
      </c>
      <c r="E76" s="274"/>
      <c r="F76" s="270"/>
      <c r="G76" s="289">
        <f>'Kertas Kerja'!E944</f>
        <v>0</v>
      </c>
      <c r="I76" s="274" t="s">
        <v>798</v>
      </c>
      <c r="J76" s="290">
        <v>0</v>
      </c>
      <c r="K76" s="274" t="s">
        <v>799</v>
      </c>
      <c r="L76" s="291">
        <v>0</v>
      </c>
    </row>
    <row r="77" spans="1:12" ht="105" customHeight="1" x14ac:dyDescent="0.25">
      <c r="A77" s="292">
        <v>67</v>
      </c>
      <c r="B77" s="293" t="s">
        <v>800</v>
      </c>
      <c r="C77" s="274"/>
      <c r="D77" s="274">
        <f>'Kertas Kerja'!H946</f>
        <v>0</v>
      </c>
      <c r="E77" s="274"/>
      <c r="F77" s="270"/>
      <c r="G77" s="289">
        <f>'Kertas Kerja'!E952</f>
        <v>0</v>
      </c>
      <c r="I77" s="274" t="s">
        <v>801</v>
      </c>
      <c r="J77" s="290">
        <v>0</v>
      </c>
      <c r="K77" s="274" t="s">
        <v>802</v>
      </c>
      <c r="L77" s="291">
        <v>0</v>
      </c>
    </row>
    <row r="78" spans="1:12" ht="75" customHeight="1" x14ac:dyDescent="0.25">
      <c r="A78" s="292">
        <v>68</v>
      </c>
      <c r="B78" s="293" t="s">
        <v>803</v>
      </c>
      <c r="C78" s="274"/>
      <c r="D78" s="274">
        <f>'Kertas Kerja'!H954</f>
        <v>0</v>
      </c>
      <c r="E78" s="274"/>
      <c r="F78" s="270"/>
      <c r="G78" s="289">
        <f>'Kertas Kerja'!E960</f>
        <v>0</v>
      </c>
      <c r="I78" s="274" t="s">
        <v>804</v>
      </c>
      <c r="J78" s="290">
        <v>1</v>
      </c>
      <c r="K78" s="274" t="s">
        <v>805</v>
      </c>
      <c r="L78" s="291">
        <v>1</v>
      </c>
    </row>
    <row r="79" spans="1:12" ht="105.95" customHeight="1" x14ac:dyDescent="0.25">
      <c r="A79" s="292">
        <v>69</v>
      </c>
      <c r="B79" s="294" t="s">
        <v>806</v>
      </c>
      <c r="C79" s="274"/>
      <c r="D79" s="274">
        <f>'Kertas Kerja'!H962</f>
        <v>0</v>
      </c>
      <c r="E79" s="274"/>
      <c r="F79" s="270"/>
      <c r="G79" s="295">
        <f>'Kertas Kerja'!E968</f>
        <v>0</v>
      </c>
      <c r="H79" s="296"/>
      <c r="I79" s="297" t="s">
        <v>807</v>
      </c>
      <c r="J79" s="298">
        <v>0</v>
      </c>
      <c r="K79" s="297" t="s">
        <v>808</v>
      </c>
      <c r="L79" s="299">
        <v>0</v>
      </c>
    </row>
    <row r="80" spans="1:12" ht="17.100000000000001" customHeight="1" x14ac:dyDescent="0.25">
      <c r="D80" s="300"/>
      <c r="E80" s="300"/>
      <c r="F80" s="300"/>
    </row>
    <row r="81" spans="1:12" ht="33" customHeight="1" x14ac:dyDescent="0.25">
      <c r="A81" s="425" t="s">
        <v>809</v>
      </c>
      <c r="B81" s="425"/>
      <c r="C81" s="425"/>
      <c r="D81" s="425"/>
      <c r="E81" s="425"/>
      <c r="F81" s="301"/>
    </row>
    <row r="82" spans="1:12" x14ac:dyDescent="0.25">
      <c r="A82" s="302"/>
      <c r="B82" s="302"/>
      <c r="C82" s="302"/>
      <c r="D82" s="302"/>
      <c r="E82" s="302"/>
      <c r="F82" s="301"/>
    </row>
    <row r="83" spans="1:12" x14ac:dyDescent="0.25">
      <c r="A83" s="303" t="str">
        <f>Menu!P24&amp;", "&amp;TEXT(Menu!P26,"dd mmmm yyyy")</f>
        <v>, 00 Januari 1900</v>
      </c>
      <c r="B83" s="302"/>
      <c r="C83" s="302"/>
      <c r="D83" s="302"/>
      <c r="E83" s="302"/>
      <c r="F83" s="301"/>
    </row>
    <row r="84" spans="1:12" x14ac:dyDescent="0.25">
      <c r="A84" s="303"/>
      <c r="B84" s="302"/>
      <c r="C84" s="302"/>
      <c r="D84" s="302"/>
      <c r="E84" s="302"/>
      <c r="F84" s="301"/>
    </row>
    <row r="85" spans="1:12" x14ac:dyDescent="0.25">
      <c r="A85" s="304" t="s">
        <v>810</v>
      </c>
      <c r="B85" s="302"/>
      <c r="C85" s="302"/>
      <c r="D85" s="1"/>
      <c r="E85" s="302"/>
      <c r="F85" s="301"/>
    </row>
    <row r="86" spans="1:12" x14ac:dyDescent="0.25">
      <c r="A86" s="1"/>
      <c r="B86" s="1"/>
      <c r="C86" s="302"/>
      <c r="D86" s="1"/>
      <c r="E86" s="302"/>
      <c r="F86" s="301"/>
    </row>
    <row r="87" spans="1:12" s="4" customFormat="1" x14ac:dyDescent="0.25">
      <c r="A87" s="306"/>
      <c r="B87" s="302"/>
      <c r="C87" s="302"/>
      <c r="E87" s="302"/>
      <c r="F87" s="301"/>
      <c r="H87" s="1"/>
      <c r="I87" s="1"/>
      <c r="J87" s="1"/>
      <c r="K87" s="1"/>
      <c r="L87" s="1"/>
    </row>
    <row r="88" spans="1:12" s="4" customFormat="1" x14ac:dyDescent="0.25">
      <c r="A88" s="302"/>
      <c r="B88" s="302"/>
      <c r="C88" s="302"/>
      <c r="E88" s="302"/>
      <c r="F88" s="301"/>
      <c r="H88" s="1"/>
      <c r="I88" s="1"/>
      <c r="J88" s="1"/>
      <c r="K88" s="1"/>
      <c r="L88" s="1"/>
    </row>
    <row r="89" spans="1:12" s="4" customFormat="1" ht="17.100000000000001" customHeight="1" x14ac:dyDescent="0.25">
      <c r="A89" s="1" t="s">
        <v>811</v>
      </c>
      <c r="B89" s="2"/>
      <c r="C89" s="3"/>
      <c r="D89" s="302">
        <f>Menu!P20</f>
        <v>0</v>
      </c>
      <c r="E89" s="3"/>
      <c r="F89" s="301"/>
      <c r="H89" s="1"/>
      <c r="I89" s="1"/>
      <c r="J89" s="1"/>
      <c r="K89" s="1"/>
      <c r="L89" s="1"/>
    </row>
    <row r="90" spans="1:12" s="4" customFormat="1" x14ac:dyDescent="0.25">
      <c r="A90" s="1"/>
      <c r="B90" s="2"/>
      <c r="C90" s="3"/>
      <c r="D90" s="302"/>
      <c r="E90" s="3"/>
      <c r="F90" s="301"/>
      <c r="H90" s="1"/>
      <c r="I90" s="1"/>
      <c r="J90" s="1"/>
      <c r="K90" s="1"/>
      <c r="L90" s="1"/>
    </row>
    <row r="91" spans="1:12" s="4" customFormat="1" x14ac:dyDescent="0.25">
      <c r="A91" s="1" t="s">
        <v>812</v>
      </c>
      <c r="B91" s="2"/>
      <c r="C91" s="3"/>
      <c r="D91" s="302"/>
      <c r="E91" s="3"/>
      <c r="F91" s="307"/>
      <c r="H91" s="1"/>
      <c r="I91" s="1"/>
      <c r="J91" s="1"/>
      <c r="K91" s="1"/>
      <c r="L91" s="1"/>
    </row>
    <row r="92" spans="1:12" s="4" customFormat="1" x14ac:dyDescent="0.25">
      <c r="A92" s="1"/>
      <c r="B92" s="2"/>
      <c r="C92" s="3"/>
      <c r="D92" s="302"/>
      <c r="E92" s="3"/>
      <c r="F92" s="308"/>
      <c r="H92" s="1"/>
      <c r="I92" s="1"/>
      <c r="J92" s="1"/>
      <c r="K92" s="1"/>
      <c r="L92" s="1"/>
    </row>
    <row r="93" spans="1:12" s="4" customFormat="1" x14ac:dyDescent="0.25">
      <c r="A93" s="1"/>
      <c r="B93" s="2"/>
      <c r="C93" s="3"/>
      <c r="D93" s="302"/>
      <c r="E93" s="3"/>
      <c r="F93" s="308"/>
      <c r="H93" s="1"/>
      <c r="I93" s="1"/>
      <c r="J93" s="1"/>
      <c r="K93" s="1"/>
      <c r="L93" s="1"/>
    </row>
    <row r="94" spans="1:12" s="4" customFormat="1" x14ac:dyDescent="0.25">
      <c r="A94" s="1"/>
      <c r="B94" s="2"/>
      <c r="C94" s="3"/>
      <c r="D94" s="302"/>
      <c r="E94" s="3"/>
      <c r="F94" s="308"/>
      <c r="H94" s="1"/>
      <c r="I94" s="1"/>
      <c r="J94" s="1"/>
      <c r="K94" s="1"/>
      <c r="L94" s="1"/>
    </row>
    <row r="95" spans="1:12" s="4" customFormat="1" x14ac:dyDescent="0.25">
      <c r="A95" s="1" t="s">
        <v>813</v>
      </c>
      <c r="B95" s="2"/>
      <c r="C95" s="3"/>
      <c r="D95" s="3">
        <f>Menu!P22</f>
        <v>0</v>
      </c>
      <c r="E95" s="3"/>
      <c r="F95" s="308"/>
      <c r="H95" s="1"/>
      <c r="I95" s="1"/>
      <c r="J95" s="1"/>
      <c r="K95" s="1"/>
      <c r="L95" s="1"/>
    </row>
    <row r="96" spans="1:12" s="4" customFormat="1" x14ac:dyDescent="0.25">
      <c r="A96" s="1"/>
      <c r="B96" s="2"/>
      <c r="C96" s="3"/>
      <c r="D96" s="3"/>
      <c r="E96" s="3"/>
      <c r="F96" s="308"/>
      <c r="H96" s="1"/>
      <c r="I96" s="1"/>
      <c r="J96" s="1"/>
      <c r="K96" s="1"/>
      <c r="L96" s="1"/>
    </row>
    <row r="97" spans="1:12" s="4" customFormat="1" x14ac:dyDescent="0.25">
      <c r="A97" s="1"/>
      <c r="B97" s="2"/>
      <c r="C97" s="3"/>
      <c r="D97" s="3"/>
      <c r="E97" s="3"/>
      <c r="F97" s="308"/>
      <c r="H97" s="1"/>
      <c r="I97" s="1"/>
      <c r="J97" s="1"/>
      <c r="K97" s="1"/>
      <c r="L97" s="1"/>
    </row>
    <row r="98" spans="1:12" s="4" customFormat="1" x14ac:dyDescent="0.25">
      <c r="A98" s="1"/>
      <c r="B98" s="2"/>
      <c r="C98" s="3"/>
      <c r="D98" s="3"/>
      <c r="E98" s="3"/>
      <c r="F98" s="308"/>
      <c r="H98" s="1"/>
      <c r="I98" s="1"/>
      <c r="J98" s="1"/>
      <c r="K98" s="1"/>
      <c r="L98" s="1"/>
    </row>
    <row r="99" spans="1:12" s="4" customFormat="1" x14ac:dyDescent="0.25">
      <c r="A99" s="1"/>
      <c r="B99" s="2"/>
      <c r="C99" s="3"/>
      <c r="D99" s="3"/>
      <c r="E99" s="3"/>
      <c r="F99" s="308"/>
      <c r="H99" s="1"/>
      <c r="I99" s="1"/>
      <c r="J99" s="1"/>
      <c r="K99" s="1"/>
      <c r="L99" s="1"/>
    </row>
    <row r="100" spans="1:12" s="4" customFormat="1" x14ac:dyDescent="0.25">
      <c r="A100" s="1"/>
      <c r="B100" s="2"/>
      <c r="C100" s="3"/>
      <c r="D100" s="3"/>
      <c r="E100" s="3"/>
      <c r="F100" s="309"/>
      <c r="H100" s="1"/>
      <c r="I100" s="1"/>
      <c r="J100" s="1"/>
      <c r="K100" s="1"/>
      <c r="L100" s="1"/>
    </row>
    <row r="101" spans="1:12" s="4" customFormat="1" x14ac:dyDescent="0.25">
      <c r="A101" s="1"/>
      <c r="B101" s="2"/>
      <c r="C101" s="3"/>
      <c r="D101" s="3"/>
      <c r="E101" s="3"/>
      <c r="F101" s="309"/>
      <c r="H101" s="1"/>
      <c r="I101" s="1"/>
      <c r="J101" s="1"/>
      <c r="K101" s="1"/>
      <c r="L101" s="1"/>
    </row>
    <row r="102" spans="1:12" s="4" customFormat="1" x14ac:dyDescent="0.25">
      <c r="A102" s="1"/>
      <c r="B102" s="2"/>
      <c r="C102" s="3"/>
      <c r="D102" s="3"/>
      <c r="E102" s="3"/>
      <c r="F102" s="308"/>
      <c r="H102" s="1"/>
      <c r="I102" s="1"/>
      <c r="J102" s="1"/>
      <c r="K102" s="1"/>
      <c r="L102" s="1"/>
    </row>
  </sheetData>
  <sheetProtection formatCells="0" formatColumns="0" formatRows="0" insertColumns="0" insertRows="0" insertHyperlinks="0" deleteColumns="0" deleteRows="0" selectLockedCells="1" sort="0" autoFilter="0" pivotTables="0"/>
  <mergeCells count="6">
    <mergeCell ref="A81:E81"/>
    <mergeCell ref="A1:E1"/>
    <mergeCell ref="A2:E2"/>
    <mergeCell ref="C4:E4"/>
    <mergeCell ref="C5:E5"/>
    <mergeCell ref="C6:E6"/>
  </mergeCells>
  <conditionalFormatting sqref="A32:A35">
    <cfRule type="cellIs" dxfId="47" priority="1" operator="equal">
      <formula>"Tidak dinilai"</formula>
    </cfRule>
  </conditionalFormatting>
  <conditionalFormatting sqref="B22:B35">
    <cfRule type="cellIs" dxfId="46" priority="2" operator="equal">
      <formula>"Tidak dinilai"</formula>
    </cfRule>
  </conditionalFormatting>
  <conditionalFormatting sqref="A75:B79">
    <cfRule type="cellIs" dxfId="45" priority="3" operator="equal">
      <formula>"Tidak dinilai"</formula>
    </cfRule>
  </conditionalFormatting>
  <conditionalFormatting sqref="B44">
    <cfRule type="cellIs" dxfId="44" priority="4" operator="equal">
      <formula>"Tidak dinilai"</formula>
    </cfRule>
  </conditionalFormatting>
  <conditionalFormatting sqref="B61">
    <cfRule type="cellIs" dxfId="43" priority="5" operator="equal">
      <formula>"Tidak dinilai"</formula>
    </cfRule>
  </conditionalFormatting>
  <conditionalFormatting sqref="B36">
    <cfRule type="cellIs" dxfId="42" priority="6" operator="equal">
      <formula>"Tidak dinilai"</formula>
    </cfRule>
  </conditionalFormatting>
  <conditionalFormatting sqref="B37">
    <cfRule type="cellIs" dxfId="41" priority="7" operator="equal">
      <formula>"Tidak dinilai"</formula>
    </cfRule>
  </conditionalFormatting>
  <conditionalFormatting sqref="B39">
    <cfRule type="cellIs" dxfId="40" priority="8" operator="equal">
      <formula>"Tidak dinilai"</formula>
    </cfRule>
  </conditionalFormatting>
  <conditionalFormatting sqref="B43">
    <cfRule type="cellIs" dxfId="39" priority="9" operator="equal">
      <formula>"Tidak dinilai"</formula>
    </cfRule>
  </conditionalFormatting>
  <conditionalFormatting sqref="A11:A19">
    <cfRule type="cellIs" dxfId="38" priority="10" operator="equal">
      <formula>"Tidak dinilai"</formula>
    </cfRule>
  </conditionalFormatting>
  <conditionalFormatting sqref="A22:A27">
    <cfRule type="cellIs" dxfId="37" priority="11" operator="equal">
      <formula>"Tidak dinilai"</formula>
    </cfRule>
  </conditionalFormatting>
  <conditionalFormatting sqref="A40:A59">
    <cfRule type="cellIs" dxfId="36" priority="12" operator="equal">
      <formula>"Tidak dinilai"</formula>
    </cfRule>
  </conditionalFormatting>
  <conditionalFormatting sqref="A29:A30">
    <cfRule type="cellIs" dxfId="35" priority="13" operator="equal">
      <formula>"Tidak dinilai"</formula>
    </cfRule>
  </conditionalFormatting>
  <conditionalFormatting sqref="A38">
    <cfRule type="cellIs" dxfId="34" priority="14" operator="equal">
      <formula>"Tidak dinilai"</formula>
    </cfRule>
  </conditionalFormatting>
  <conditionalFormatting sqref="A28">
    <cfRule type="cellIs" dxfId="33" priority="15" operator="equal">
      <formula>"Tidak dinilai"</formula>
    </cfRule>
  </conditionalFormatting>
  <conditionalFormatting sqref="A60:A64">
    <cfRule type="cellIs" dxfId="32" priority="16" operator="equal">
      <formula>"Tidak dinilai"</formula>
    </cfRule>
  </conditionalFormatting>
  <conditionalFormatting sqref="A66:A72">
    <cfRule type="cellIs" dxfId="31" priority="17" operator="equal">
      <formula>"Tidak dinilai"</formula>
    </cfRule>
  </conditionalFormatting>
  <conditionalFormatting sqref="A65">
    <cfRule type="cellIs" dxfId="30" priority="18" operator="equal">
      <formula>"Tidak dinilai"</formula>
    </cfRule>
  </conditionalFormatting>
  <conditionalFormatting sqref="A73">
    <cfRule type="cellIs" dxfId="29" priority="19" operator="equal">
      <formula>"Tidak dinilai"</formula>
    </cfRule>
  </conditionalFormatting>
  <conditionalFormatting sqref="A31">
    <cfRule type="cellIs" dxfId="28" priority="20" operator="equal">
      <formula>"Tidak dinilai"</formula>
    </cfRule>
  </conditionalFormatting>
  <conditionalFormatting sqref="B38">
    <cfRule type="cellIs" dxfId="27" priority="21" operator="equal">
      <formula>"Tidak dinilai"</formula>
    </cfRule>
  </conditionalFormatting>
  <conditionalFormatting sqref="B40:B42">
    <cfRule type="cellIs" dxfId="26" priority="22" operator="equal">
      <formula>"Tidak dinilai"</formula>
    </cfRule>
  </conditionalFormatting>
  <conditionalFormatting sqref="B44:B60">
    <cfRule type="cellIs" dxfId="25" priority="23" operator="equal">
      <formula>"Tidak dinilai"</formula>
    </cfRule>
  </conditionalFormatting>
  <conditionalFormatting sqref="B62:B65">
    <cfRule type="cellIs" dxfId="24" priority="24" operator="equal">
      <formula>"Tidak dinilai"</formula>
    </cfRule>
  </conditionalFormatting>
  <conditionalFormatting sqref="B67:B73">
    <cfRule type="cellIs" dxfId="23" priority="25" operator="equal">
      <formula>"Tidak dinilai"</formula>
    </cfRule>
  </conditionalFormatting>
  <conditionalFormatting sqref="B11:B19">
    <cfRule type="cellIs" dxfId="22" priority="26" operator="equal">
      <formula>"Tidak dinilai"</formula>
    </cfRule>
  </conditionalFormatting>
  <printOptions horizontalCentered="1"/>
  <pageMargins left="0.74803149606299002" right="0.51181102362205" top="0.74803149606299002" bottom="0.51181102362205" header="0.31496062992126" footer="0.31496062992126"/>
  <pageSetup paperSize="9" scale="87" fitToHeight="0" orientation="portrait"/>
  <headerFooter>
    <oddFooter>&amp;LBerita Acara AL&amp;CAkreditasi Program Studi - Program Sarjana&amp;R&amp;P/&amp;N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1"/>
  <sheetViews>
    <sheetView topLeftCell="A39" workbookViewId="0">
      <selection activeCell="H34" sqref="H34"/>
    </sheetView>
  </sheetViews>
  <sheetFormatPr defaultColWidth="8.85546875" defaultRowHeight="15.75" x14ac:dyDescent="0.25"/>
  <cols>
    <col min="1" max="3" width="28.42578125" style="1" customWidth="1"/>
    <col min="4" max="4" width="8.85546875" style="1"/>
  </cols>
  <sheetData>
    <row r="1" spans="1:3" x14ac:dyDescent="0.25">
      <c r="A1" s="431" t="s">
        <v>814</v>
      </c>
      <c r="B1" s="431"/>
      <c r="C1" s="431"/>
    </row>
    <row r="3" spans="1:3" x14ac:dyDescent="0.25">
      <c r="A3" s="243" t="s">
        <v>628</v>
      </c>
      <c r="B3" s="432" t="s">
        <v>815</v>
      </c>
      <c r="C3" s="432"/>
    </row>
    <row r="4" spans="1:3" x14ac:dyDescent="0.25">
      <c r="A4" s="243" t="s">
        <v>629</v>
      </c>
      <c r="B4" s="432" t="s">
        <v>6</v>
      </c>
      <c r="C4" s="432"/>
    </row>
    <row r="5" spans="1:3" x14ac:dyDescent="0.25">
      <c r="A5" s="243" t="s">
        <v>630</v>
      </c>
      <c r="B5" s="432" t="s">
        <v>7</v>
      </c>
      <c r="C5" s="432"/>
    </row>
    <row r="6" spans="1:3" x14ac:dyDescent="0.25">
      <c r="A6" s="243" t="s">
        <v>631</v>
      </c>
      <c r="B6" s="310" t="s">
        <v>9</v>
      </c>
    </row>
    <row r="7" spans="1:3" x14ac:dyDescent="0.25">
      <c r="A7" s="243" t="s">
        <v>632</v>
      </c>
      <c r="B7" s="311">
        <v>43694</v>
      </c>
    </row>
    <row r="9" spans="1:3" ht="78.95" customHeight="1" x14ac:dyDescent="0.25">
      <c r="A9" s="425" t="s">
        <v>816</v>
      </c>
      <c r="B9" s="425"/>
      <c r="C9" s="425"/>
    </row>
    <row r="10" spans="1:3" ht="30.75" customHeight="1" x14ac:dyDescent="0.25">
      <c r="A10" s="425" t="s">
        <v>817</v>
      </c>
      <c r="B10" s="425"/>
      <c r="C10" s="425"/>
    </row>
    <row r="12" spans="1:3" x14ac:dyDescent="0.25">
      <c r="A12" s="312" t="s">
        <v>818</v>
      </c>
    </row>
    <row r="13" spans="1:3" ht="80.25" customHeight="1" x14ac:dyDescent="0.25">
      <c r="A13" s="428" t="s">
        <v>843</v>
      </c>
      <c r="B13" s="429"/>
      <c r="C13" s="430"/>
    </row>
    <row r="15" spans="1:3" x14ac:dyDescent="0.25">
      <c r="A15" s="312" t="s">
        <v>819</v>
      </c>
    </row>
    <row r="16" spans="1:3" ht="80.25" customHeight="1" x14ac:dyDescent="0.25">
      <c r="A16" s="428" t="s">
        <v>844</v>
      </c>
      <c r="B16" s="429"/>
      <c r="C16" s="430"/>
    </row>
    <row r="18" spans="1:3" x14ac:dyDescent="0.25">
      <c r="A18" s="312" t="s">
        <v>820</v>
      </c>
    </row>
    <row r="19" spans="1:3" ht="80.25" customHeight="1" x14ac:dyDescent="0.25">
      <c r="A19" s="428" t="s">
        <v>843</v>
      </c>
      <c r="B19" s="429"/>
      <c r="C19" s="430"/>
    </row>
    <row r="21" spans="1:3" x14ac:dyDescent="0.25">
      <c r="A21" s="312" t="s">
        <v>821</v>
      </c>
    </row>
    <row r="22" spans="1:3" ht="80.25" customHeight="1" x14ac:dyDescent="0.25">
      <c r="A22" s="428" t="s">
        <v>845</v>
      </c>
      <c r="B22" s="429"/>
      <c r="C22" s="430"/>
    </row>
    <row r="24" spans="1:3" x14ac:dyDescent="0.25">
      <c r="A24" s="312" t="s">
        <v>822</v>
      </c>
    </row>
    <row r="25" spans="1:3" ht="80.25" customHeight="1" x14ac:dyDescent="0.25">
      <c r="A25" s="428" t="s">
        <v>843</v>
      </c>
      <c r="B25" s="429"/>
      <c r="C25" s="430"/>
    </row>
    <row r="27" spans="1:3" x14ac:dyDescent="0.25">
      <c r="A27" s="312" t="s">
        <v>823</v>
      </c>
    </row>
    <row r="28" spans="1:3" ht="80.25" customHeight="1" x14ac:dyDescent="0.25">
      <c r="A28" s="428" t="s">
        <v>843</v>
      </c>
      <c r="B28" s="429"/>
      <c r="C28" s="430"/>
    </row>
    <row r="30" spans="1:3" x14ac:dyDescent="0.25">
      <c r="A30" s="312" t="s">
        <v>824</v>
      </c>
    </row>
    <row r="31" spans="1:3" ht="80.25" customHeight="1" x14ac:dyDescent="0.25">
      <c r="A31" s="428" t="s">
        <v>843</v>
      </c>
      <c r="B31" s="429"/>
      <c r="C31" s="430"/>
    </row>
    <row r="33" spans="1:12" x14ac:dyDescent="0.25">
      <c r="A33" s="312" t="s">
        <v>825</v>
      </c>
    </row>
    <row r="34" spans="1:12" ht="80.25" customHeight="1" x14ac:dyDescent="0.25">
      <c r="A34" s="428" t="s">
        <v>843</v>
      </c>
      <c r="B34" s="429"/>
      <c r="C34" s="430"/>
    </row>
    <row r="36" spans="1:12" x14ac:dyDescent="0.25">
      <c r="A36" s="312" t="s">
        <v>826</v>
      </c>
    </row>
    <row r="37" spans="1:12" ht="80.25" customHeight="1" x14ac:dyDescent="0.25">
      <c r="A37" s="428" t="s">
        <v>843</v>
      </c>
      <c r="B37" s="429"/>
      <c r="C37" s="430"/>
    </row>
    <row r="39" spans="1:12" ht="17.100000000000001" customHeight="1" x14ac:dyDescent="0.25">
      <c r="A39" s="313" t="s">
        <v>827</v>
      </c>
      <c r="B39" s="313"/>
      <c r="C39" s="313"/>
      <c r="D39" s="314"/>
      <c r="E39" s="314"/>
      <c r="F39" s="314"/>
      <c r="G39" s="314"/>
      <c r="H39" s="314"/>
      <c r="I39" s="314"/>
      <c r="J39" s="314"/>
      <c r="K39" s="314"/>
      <c r="L39" s="314"/>
    </row>
    <row r="40" spans="1:12" x14ac:dyDescent="0.25">
      <c r="A40" s="301"/>
      <c r="B40" s="314"/>
      <c r="C40" s="314"/>
      <c r="D40" s="314"/>
      <c r="E40" s="314"/>
      <c r="F40" s="314"/>
      <c r="G40" s="314"/>
      <c r="H40" s="314"/>
      <c r="I40" s="314"/>
      <c r="J40" s="314"/>
      <c r="K40" s="314"/>
      <c r="L40" s="313"/>
    </row>
    <row r="41" spans="1:12" x14ac:dyDescent="0.25">
      <c r="A41" s="304"/>
      <c r="B41" s="314"/>
      <c r="C41" s="314"/>
      <c r="D41" s="314"/>
      <c r="E41" s="314"/>
      <c r="G41" s="314"/>
      <c r="H41" s="314"/>
      <c r="I41" s="314"/>
      <c r="J41" s="314"/>
      <c r="L41" s="313"/>
    </row>
    <row r="42" spans="1:12" x14ac:dyDescent="0.25">
      <c r="A42" s="307"/>
      <c r="B42" s="314"/>
      <c r="C42" s="314"/>
      <c r="D42" s="314"/>
      <c r="E42" s="314"/>
      <c r="G42" s="314"/>
      <c r="H42" s="314"/>
      <c r="I42" s="314"/>
      <c r="J42" s="314"/>
      <c r="L42" s="313"/>
    </row>
    <row r="43" spans="1:12" x14ac:dyDescent="0.25">
      <c r="A43" s="309"/>
      <c r="B43" s="314"/>
      <c r="C43" s="314"/>
      <c r="D43" s="314"/>
      <c r="E43" s="314"/>
      <c r="G43" s="314"/>
      <c r="H43" s="314"/>
      <c r="I43" s="314"/>
      <c r="J43" s="314"/>
      <c r="L43" s="313"/>
    </row>
    <row r="44" spans="1:12" x14ac:dyDescent="0.25">
      <c r="A44" s="309"/>
      <c r="B44" s="314"/>
      <c r="C44" s="314"/>
      <c r="D44" s="314"/>
      <c r="E44" s="314"/>
      <c r="G44" s="314"/>
      <c r="H44" s="314"/>
      <c r="I44" s="314"/>
      <c r="J44" s="314"/>
      <c r="L44" s="313"/>
    </row>
    <row r="45" spans="1:12" x14ac:dyDescent="0.25">
      <c r="A45" s="305" t="s">
        <v>828</v>
      </c>
      <c r="B45" s="314"/>
      <c r="C45" s="314"/>
      <c r="D45" s="314"/>
      <c r="E45" s="314"/>
      <c r="G45" s="314"/>
      <c r="H45" s="314"/>
      <c r="I45" s="314"/>
      <c r="J45" s="314"/>
      <c r="L45" s="313"/>
    </row>
    <row r="46" spans="1:12" x14ac:dyDescent="0.25">
      <c r="A46" s="314"/>
      <c r="B46" s="314"/>
      <c r="C46" s="314"/>
      <c r="D46" s="314"/>
      <c r="E46" s="314"/>
      <c r="G46" s="314"/>
      <c r="H46" s="314"/>
      <c r="I46" s="314"/>
      <c r="J46" s="314"/>
      <c r="L46" s="313"/>
    </row>
    <row r="47" spans="1:12" x14ac:dyDescent="0.25">
      <c r="A47" s="314"/>
      <c r="B47" s="314"/>
      <c r="C47" s="314"/>
      <c r="D47" s="314"/>
      <c r="E47" s="314"/>
      <c r="G47" s="314"/>
      <c r="H47" s="314"/>
      <c r="I47" s="314"/>
      <c r="J47" s="314"/>
      <c r="L47" s="313"/>
    </row>
    <row r="48" spans="1:12" x14ac:dyDescent="0.25">
      <c r="A48" s="314"/>
      <c r="B48" s="314"/>
      <c r="C48" s="314"/>
      <c r="D48" s="314"/>
      <c r="E48" s="314"/>
      <c r="G48" s="314"/>
      <c r="H48" s="314"/>
      <c r="I48" s="314"/>
      <c r="J48" s="314"/>
      <c r="L48" s="313"/>
    </row>
    <row r="49" spans="1:12" x14ac:dyDescent="0.25">
      <c r="A49" s="314"/>
      <c r="B49" s="314"/>
      <c r="C49" s="314"/>
      <c r="D49" s="314"/>
      <c r="E49" s="314"/>
      <c r="G49" s="314"/>
      <c r="H49" s="314"/>
      <c r="I49" s="314"/>
      <c r="J49" s="314"/>
      <c r="L49" s="314"/>
    </row>
    <row r="50" spans="1:12" x14ac:dyDescent="0.25">
      <c r="A50" s="314"/>
      <c r="B50" s="314"/>
      <c r="C50" s="314"/>
      <c r="D50" s="314"/>
      <c r="E50" s="314"/>
      <c r="G50" s="314"/>
      <c r="H50" s="314"/>
      <c r="I50" s="314"/>
      <c r="J50" s="314"/>
      <c r="L50" s="314"/>
    </row>
    <row r="51" spans="1:12" x14ac:dyDescent="0.25">
      <c r="A51" s="314" t="s">
        <v>829</v>
      </c>
      <c r="B51" s="314"/>
      <c r="C51" s="314"/>
      <c r="D51" s="314"/>
      <c r="E51" s="314"/>
      <c r="G51" s="314"/>
      <c r="H51" s="314"/>
      <c r="I51" s="314"/>
      <c r="J51" s="314"/>
      <c r="L51" s="314"/>
    </row>
  </sheetData>
  <sheetProtection formatCells="0" formatColumns="0" formatRows="0" insertColumns="0" insertRows="0" insertHyperlinks="0" deleteColumns="0" deleteRows="0" sort="0" autoFilter="0" pivotTables="0"/>
  <mergeCells count="15">
    <mergeCell ref="A10:C10"/>
    <mergeCell ref="A1:C1"/>
    <mergeCell ref="B3:C3"/>
    <mergeCell ref="B4:C4"/>
    <mergeCell ref="B5:C5"/>
    <mergeCell ref="A9:C9"/>
    <mergeCell ref="A31:C31"/>
    <mergeCell ref="A34:C34"/>
    <mergeCell ref="A37:C37"/>
    <mergeCell ref="A13:C13"/>
    <mergeCell ref="A16:C16"/>
    <mergeCell ref="A19:C19"/>
    <mergeCell ref="A22:C22"/>
    <mergeCell ref="A25:C25"/>
    <mergeCell ref="A28:C28"/>
  </mergeCells>
  <pageMargins left="0.7" right="0.7" top="0.75" bottom="0.75" header="0.3" footer="0.3"/>
  <pageSetup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5"/>
  <sheetViews>
    <sheetView tabSelected="1" topLeftCell="B10" workbookViewId="0">
      <selection activeCell="K75" sqref="K75"/>
    </sheetView>
  </sheetViews>
  <sheetFormatPr defaultColWidth="8.7109375" defaultRowHeight="15.75" x14ac:dyDescent="0.25"/>
  <cols>
    <col min="1" max="1" width="5.85546875" style="1" hidden="1" customWidth="1"/>
    <col min="2" max="2" width="5.85546875" style="2" customWidth="1"/>
    <col min="3" max="3" width="8.7109375" style="3"/>
    <col min="4" max="5" width="8.7109375" style="1"/>
    <col min="6" max="6" width="8.85546875" style="1" customWidth="1"/>
    <col min="7" max="9" width="8.7109375" style="3"/>
    <col min="10" max="13" width="8.7109375" style="1"/>
  </cols>
  <sheetData>
    <row r="1" spans="1:20" s="218" customFormat="1" ht="15" customHeight="1" x14ac:dyDescent="0.25">
      <c r="B1" s="440" t="s">
        <v>830</v>
      </c>
      <c r="C1" s="440"/>
      <c r="D1" s="440"/>
      <c r="E1" s="440"/>
      <c r="F1" s="440"/>
      <c r="G1" s="440"/>
      <c r="H1" s="440"/>
      <c r="I1" s="440"/>
      <c r="J1" s="440"/>
      <c r="K1" s="440"/>
    </row>
    <row r="2" spans="1:20" s="218" customFormat="1" ht="15" customHeight="1" x14ac:dyDescent="0.25">
      <c r="B2" s="440" t="s">
        <v>627</v>
      </c>
      <c r="C2" s="440"/>
      <c r="D2" s="440"/>
      <c r="E2" s="440"/>
      <c r="F2" s="440"/>
      <c r="G2" s="440"/>
      <c r="H2" s="440"/>
      <c r="I2" s="440"/>
      <c r="J2" s="440"/>
      <c r="K2" s="440"/>
    </row>
    <row r="3" spans="1:20" s="218" customFormat="1" ht="15" customHeight="1" x14ac:dyDescent="0.25">
      <c r="B3" s="240"/>
      <c r="C3" s="240"/>
      <c r="G3" s="219"/>
      <c r="H3" s="219"/>
      <c r="I3" s="219"/>
      <c r="J3" s="219"/>
      <c r="K3" s="219"/>
      <c r="S3" s="219"/>
      <c r="T3" s="219"/>
    </row>
    <row r="4" spans="1:20" s="218" customFormat="1" x14ac:dyDescent="0.25">
      <c r="B4" s="243" t="s">
        <v>628</v>
      </c>
      <c r="C4" s="221"/>
      <c r="F4" s="437">
        <f>Menu!H7</f>
        <v>0</v>
      </c>
      <c r="G4" s="437"/>
      <c r="H4" s="437"/>
      <c r="I4" s="437"/>
      <c r="J4" s="437"/>
      <c r="K4" s="437"/>
      <c r="S4" s="219"/>
      <c r="T4" s="219"/>
    </row>
    <row r="5" spans="1:20" s="218" customFormat="1" x14ac:dyDescent="0.25">
      <c r="B5" s="243" t="s">
        <v>629</v>
      </c>
      <c r="C5" s="221"/>
      <c r="F5" s="437">
        <f>Menu!H9</f>
        <v>0</v>
      </c>
      <c r="G5" s="437"/>
      <c r="H5" s="437"/>
      <c r="I5" s="437"/>
      <c r="J5" s="437"/>
      <c r="K5" s="437"/>
      <c r="S5" s="219"/>
      <c r="T5" s="219"/>
    </row>
    <row r="6" spans="1:20" s="218" customFormat="1" x14ac:dyDescent="0.25">
      <c r="B6" s="243" t="s">
        <v>630</v>
      </c>
      <c r="C6" s="221"/>
      <c r="F6" s="437">
        <f>Menu!H11</f>
        <v>0</v>
      </c>
      <c r="G6" s="437"/>
      <c r="H6" s="437"/>
      <c r="I6" s="437"/>
      <c r="J6" s="437"/>
      <c r="K6" s="437"/>
      <c r="S6" s="219"/>
      <c r="T6" s="219"/>
    </row>
    <row r="7" spans="1:20" s="218" customFormat="1" ht="15" customHeight="1" x14ac:dyDescent="0.25">
      <c r="B7" s="221"/>
      <c r="C7" s="223"/>
    </row>
    <row r="8" spans="1:20" s="218" customFormat="1" ht="15" customHeight="1" x14ac:dyDescent="0.25">
      <c r="B8" s="438" t="s">
        <v>831</v>
      </c>
      <c r="C8" s="438"/>
      <c r="D8" s="438"/>
      <c r="E8" s="239"/>
      <c r="F8" s="439">
        <f>SUM(E16:E84)</f>
        <v>89.658766403668835</v>
      </c>
      <c r="G8" s="439"/>
    </row>
    <row r="9" spans="1:20" s="218" customFormat="1" ht="15" customHeight="1" x14ac:dyDescent="0.25">
      <c r="B9" s="438"/>
      <c r="C9" s="438"/>
      <c r="D9" s="438"/>
      <c r="E9" s="239"/>
      <c r="F9" s="439"/>
      <c r="G9" s="439"/>
    </row>
    <row r="10" spans="1:20" s="218" customFormat="1" ht="15" customHeight="1" x14ac:dyDescent="0.25"/>
    <row r="11" spans="1:20" s="218" customFormat="1" ht="15" customHeight="1" x14ac:dyDescent="0.25">
      <c r="B11" s="218" t="s">
        <v>832</v>
      </c>
      <c r="C11" s="222"/>
      <c r="F11" s="434" t="str">
        <f>IF(AND(G27="TERPENUHI",G32="TERPENUHI",G53="TERPENUHI"),"TERPENUHI","TIDAK TERPENUHI")</f>
        <v>TIDAK TERPENUHI</v>
      </c>
      <c r="G11" s="434"/>
      <c r="H11" s="434"/>
      <c r="I11" s="434"/>
    </row>
    <row r="12" spans="1:20" s="218" customFormat="1" ht="15" customHeight="1" x14ac:dyDescent="0.25">
      <c r="B12" s="218" t="s">
        <v>833</v>
      </c>
      <c r="C12" s="222"/>
      <c r="F12" s="434" t="str">
        <f>IF(AND(I33="TERPENUHI",I34="TERPENUHI",I75="TERPENUHI",I76="TERPENUHI"),"TERPENUHI","TIDAK TERPENUHI")</f>
        <v>TIDAK TERPENUHI</v>
      </c>
      <c r="G12" s="434"/>
      <c r="H12" s="434"/>
      <c r="I12" s="434"/>
    </row>
    <row r="13" spans="1:20" s="218" customFormat="1" ht="15" customHeight="1" x14ac:dyDescent="0.25">
      <c r="B13" s="218" t="s">
        <v>834</v>
      </c>
      <c r="F13" s="434" t="str">
        <f>IF(AND(K33="TERPENUHI",K34="TERPENUHI",K75="TERPENUHI",K76="TERPENUHI"),"TERPENUHI","TIDAK TERPENUHI")</f>
        <v>TIDAK TERPENUHI</v>
      </c>
      <c r="G13" s="434"/>
      <c r="H13" s="434"/>
      <c r="I13" s="434"/>
    </row>
    <row r="14" spans="1:20" s="218" customFormat="1" ht="15" customHeight="1" x14ac:dyDescent="0.25">
      <c r="B14" s="224"/>
      <c r="C14" s="220"/>
    </row>
    <row r="15" spans="1:20" s="226" customFormat="1" ht="44.1" customHeight="1" x14ac:dyDescent="0.2">
      <c r="A15" s="225" t="s">
        <v>633</v>
      </c>
      <c r="B15" s="225" t="s">
        <v>633</v>
      </c>
      <c r="C15" s="225" t="s">
        <v>25</v>
      </c>
      <c r="D15" s="225" t="s">
        <v>835</v>
      </c>
      <c r="E15" s="225" t="s">
        <v>836</v>
      </c>
      <c r="F15" s="435" t="s">
        <v>837</v>
      </c>
      <c r="G15" s="436"/>
      <c r="H15" s="435" t="s">
        <v>838</v>
      </c>
      <c r="I15" s="436"/>
      <c r="J15" s="433" t="s">
        <v>839</v>
      </c>
      <c r="K15" s="433"/>
    </row>
    <row r="16" spans="1:20" s="230" customFormat="1" ht="12" customHeight="1" x14ac:dyDescent="0.2">
      <c r="A16" s="227">
        <v>1</v>
      </c>
      <c r="B16" s="227">
        <f>'Kertas Kerja'!A7</f>
        <v>1</v>
      </c>
      <c r="C16" s="228">
        <f>'Kertas Kerja'!E13</f>
        <v>0</v>
      </c>
      <c r="D16" s="229">
        <v>1</v>
      </c>
      <c r="E16" s="229">
        <f t="shared" ref="E16:E47" si="0">C16*D16</f>
        <v>0</v>
      </c>
      <c r="F16" s="233"/>
      <c r="G16" s="233"/>
      <c r="H16" s="233"/>
      <c r="I16" s="233"/>
      <c r="J16" s="233"/>
      <c r="K16" s="233"/>
    </row>
    <row r="17" spans="1:11" s="230" customFormat="1" ht="12" customHeight="1" x14ac:dyDescent="0.2">
      <c r="A17" s="227">
        <v>2</v>
      </c>
      <c r="B17" s="231">
        <f>'Kertas Kerja'!A15</f>
        <v>2</v>
      </c>
      <c r="C17" s="232">
        <f>'Kertas Kerja'!E21</f>
        <v>0</v>
      </c>
      <c r="D17" s="229">
        <v>1</v>
      </c>
      <c r="E17" s="229">
        <f t="shared" si="0"/>
        <v>0</v>
      </c>
      <c r="F17" s="233"/>
      <c r="G17" s="233"/>
      <c r="H17" s="233"/>
      <c r="I17" s="233"/>
      <c r="J17" s="233"/>
      <c r="K17" s="233"/>
    </row>
    <row r="18" spans="1:11" s="230" customFormat="1" ht="12" customHeight="1" x14ac:dyDescent="0.2">
      <c r="A18" s="227">
        <v>3</v>
      </c>
      <c r="B18" s="231">
        <f>'Kertas Kerja'!A23</f>
        <v>3</v>
      </c>
      <c r="C18" s="232">
        <f>'Kertas Kerja'!E29</f>
        <v>0</v>
      </c>
      <c r="D18" s="229">
        <v>0.51111111111110996</v>
      </c>
      <c r="E18" s="229">
        <f t="shared" si="0"/>
        <v>0</v>
      </c>
      <c r="F18" s="233"/>
      <c r="G18" s="233"/>
      <c r="H18" s="233"/>
      <c r="I18" s="233"/>
      <c r="J18" s="233"/>
      <c r="K18" s="233"/>
    </row>
    <row r="19" spans="1:11" s="230" customFormat="1" ht="12" customHeight="1" x14ac:dyDescent="0.2">
      <c r="A19" s="227">
        <v>4</v>
      </c>
      <c r="B19" s="231">
        <f>'Kertas Kerja'!A31</f>
        <v>4</v>
      </c>
      <c r="C19" s="232">
        <f>'Kertas Kerja'!E37</f>
        <v>0</v>
      </c>
      <c r="D19" s="229">
        <v>1.0222222222221999</v>
      </c>
      <c r="E19" s="229">
        <f t="shared" si="0"/>
        <v>0</v>
      </c>
      <c r="F19" s="233"/>
      <c r="G19" s="233"/>
      <c r="H19" s="233"/>
      <c r="I19" s="233"/>
      <c r="J19" s="233"/>
      <c r="K19" s="233"/>
    </row>
    <row r="20" spans="1:11" s="230" customFormat="1" ht="12" customHeight="1" x14ac:dyDescent="0.2">
      <c r="A20" s="227">
        <v>5</v>
      </c>
      <c r="B20" s="231">
        <f>'Kertas Kerja'!A39</f>
        <v>5</v>
      </c>
      <c r="C20" s="232">
        <f>'Kertas Kerja'!E45</f>
        <v>0</v>
      </c>
      <c r="D20" s="229">
        <v>1.5333333333332999</v>
      </c>
      <c r="E20" s="229">
        <f t="shared" si="0"/>
        <v>0</v>
      </c>
      <c r="F20" s="233"/>
      <c r="G20" s="233"/>
      <c r="H20" s="233"/>
      <c r="I20" s="233"/>
      <c r="J20" s="233"/>
      <c r="K20" s="233"/>
    </row>
    <row r="21" spans="1:11" s="230" customFormat="1" ht="12" customHeight="1" x14ac:dyDescent="0.2">
      <c r="A21" s="227">
        <v>6</v>
      </c>
      <c r="B21" s="231">
        <f>'Kertas Kerja'!A47</f>
        <v>6</v>
      </c>
      <c r="C21" s="232">
        <f>'Kertas Kerja'!E59</f>
        <v>0</v>
      </c>
      <c r="D21" s="229">
        <v>0.34074074074074001</v>
      </c>
      <c r="E21" s="229">
        <f t="shared" si="0"/>
        <v>0</v>
      </c>
      <c r="F21" s="233"/>
      <c r="G21" s="233"/>
      <c r="H21" s="233"/>
      <c r="I21" s="233"/>
      <c r="J21" s="233"/>
      <c r="K21" s="233"/>
    </row>
    <row r="22" spans="1:11" s="230" customFormat="1" ht="12" customHeight="1" x14ac:dyDescent="0.2">
      <c r="A22" s="227">
        <v>7</v>
      </c>
      <c r="B22" s="231">
        <f>'Kertas Kerja'!A61</f>
        <v>7</v>
      </c>
      <c r="C22" s="232">
        <f>'Kertas Kerja'!E73</f>
        <v>0</v>
      </c>
      <c r="D22" s="229">
        <v>0.34074074074074001</v>
      </c>
      <c r="E22" s="229">
        <f t="shared" si="0"/>
        <v>0</v>
      </c>
      <c r="F22" s="233"/>
      <c r="G22" s="233"/>
      <c r="H22" s="233"/>
      <c r="I22" s="233"/>
      <c r="J22" s="233"/>
      <c r="K22" s="233"/>
    </row>
    <row r="23" spans="1:11" s="230" customFormat="1" ht="12" customHeight="1" x14ac:dyDescent="0.2">
      <c r="A23" s="227">
        <v>8</v>
      </c>
      <c r="B23" s="231">
        <f>'Kertas Kerja'!A75</f>
        <v>8</v>
      </c>
      <c r="C23" s="232">
        <f>'Kertas Kerja'!E81</f>
        <v>0</v>
      </c>
      <c r="D23" s="229">
        <v>0.68148148148148002</v>
      </c>
      <c r="E23" s="229">
        <f t="shared" si="0"/>
        <v>0</v>
      </c>
      <c r="F23" s="217"/>
      <c r="G23" s="217"/>
      <c r="H23" s="217"/>
      <c r="I23" s="217"/>
      <c r="J23" s="217"/>
      <c r="K23" s="217"/>
    </row>
    <row r="24" spans="1:11" s="230" customFormat="1" ht="12" customHeight="1" x14ac:dyDescent="0.2">
      <c r="A24" s="227">
        <v>9</v>
      </c>
      <c r="B24" s="231">
        <f>'Kertas Kerja'!A83</f>
        <v>9</v>
      </c>
      <c r="C24" s="229">
        <f>'Kertas Kerja'!E108</f>
        <v>0</v>
      </c>
      <c r="D24" s="229">
        <v>0.34074074074074001</v>
      </c>
      <c r="E24" s="229">
        <f t="shared" si="0"/>
        <v>0</v>
      </c>
      <c r="F24" s="217"/>
      <c r="G24" s="217"/>
      <c r="H24" s="217"/>
      <c r="I24" s="217"/>
      <c r="J24" s="217"/>
      <c r="K24" s="217"/>
    </row>
    <row r="25" spans="1:11" s="230" customFormat="1" ht="12" customHeight="1" x14ac:dyDescent="0.2">
      <c r="A25" s="227">
        <v>10</v>
      </c>
      <c r="B25" s="231">
        <f>'Kertas Kerja'!A110</f>
        <v>10</v>
      </c>
      <c r="C25" s="229">
        <f>'Kertas Kerja'!E116</f>
        <v>0</v>
      </c>
      <c r="D25" s="229">
        <v>0.68148148148148002</v>
      </c>
      <c r="E25" s="229">
        <f t="shared" si="0"/>
        <v>0</v>
      </c>
      <c r="F25" s="217"/>
      <c r="G25" s="217"/>
      <c r="H25" s="217"/>
      <c r="I25" s="217"/>
      <c r="J25" s="217"/>
      <c r="K25" s="217"/>
    </row>
    <row r="26" spans="1:11" s="230" customFormat="1" ht="12" customHeight="1" x14ac:dyDescent="0.2">
      <c r="A26" s="227">
        <v>11</v>
      </c>
      <c r="B26" s="231">
        <f>'Kertas Kerja'!A118</f>
        <v>11</v>
      </c>
      <c r="C26" s="229">
        <f>'Kertas Kerja'!E124</f>
        <v>0</v>
      </c>
      <c r="D26" s="229">
        <v>1.0222222222221999</v>
      </c>
      <c r="E26" s="229">
        <f t="shared" si="0"/>
        <v>0</v>
      </c>
      <c r="F26" s="217"/>
      <c r="G26" s="217"/>
      <c r="H26" s="217"/>
      <c r="I26" s="217"/>
      <c r="J26" s="217"/>
      <c r="K26" s="217"/>
    </row>
    <row r="27" spans="1:11" s="230" customFormat="1" ht="26.1" customHeight="1" x14ac:dyDescent="0.2">
      <c r="A27" s="227">
        <v>12</v>
      </c>
      <c r="B27" s="231">
        <f>'Kertas Kerja'!A126</f>
        <v>12</v>
      </c>
      <c r="C27" s="232">
        <f>'Kertas Kerja'!E132</f>
        <v>0</v>
      </c>
      <c r="D27" s="229">
        <v>1.362962962963</v>
      </c>
      <c r="E27" s="229">
        <f t="shared" si="0"/>
        <v>0</v>
      </c>
      <c r="F27" s="217" t="s">
        <v>840</v>
      </c>
      <c r="G27" s="217" t="str">
        <f>IF(C27&gt;=2," TERPENUHI","TIDAK TERPENUHI")</f>
        <v>TIDAK TERPENUHI</v>
      </c>
      <c r="H27" s="217"/>
      <c r="I27" s="217"/>
      <c r="J27" s="217"/>
      <c r="K27" s="217"/>
    </row>
    <row r="28" spans="1:11" s="230" customFormat="1" ht="12" customHeight="1" x14ac:dyDescent="0.2">
      <c r="A28" s="227">
        <v>13</v>
      </c>
      <c r="B28" s="231">
        <f>'Kertas Kerja'!A134</f>
        <v>13</v>
      </c>
      <c r="C28" s="232">
        <f>'Kertas Kerja'!E140</f>
        <v>0</v>
      </c>
      <c r="D28" s="229">
        <v>1.362962962963</v>
      </c>
      <c r="E28" s="229">
        <f t="shared" si="0"/>
        <v>0</v>
      </c>
      <c r="F28" s="217"/>
      <c r="G28" s="217"/>
      <c r="H28" s="217"/>
      <c r="I28" s="217"/>
      <c r="J28" s="217"/>
      <c r="K28" s="217"/>
    </row>
    <row r="29" spans="1:11" s="230" customFormat="1" ht="12" customHeight="1" x14ac:dyDescent="0.2">
      <c r="A29" s="227">
        <v>14</v>
      </c>
      <c r="B29" s="231">
        <f>'Kertas Kerja'!A142</f>
        <v>14</v>
      </c>
      <c r="C29" s="232">
        <f>'Kertas Kerja'!E160</f>
        <v>1.043809523809524</v>
      </c>
      <c r="D29" s="229">
        <v>4.5999999999999996</v>
      </c>
      <c r="E29" s="229">
        <f t="shared" si="0"/>
        <v>4.8015238095238102</v>
      </c>
      <c r="F29" s="217"/>
      <c r="G29" s="217"/>
      <c r="H29" s="217"/>
      <c r="I29" s="217"/>
      <c r="J29" s="217"/>
      <c r="K29" s="217"/>
    </row>
    <row r="30" spans="1:11" s="230" customFormat="1" ht="12" customHeight="1" x14ac:dyDescent="0.2">
      <c r="A30" s="227">
        <v>15</v>
      </c>
      <c r="B30" s="231">
        <f>'Kertas Kerja'!A162</f>
        <v>15</v>
      </c>
      <c r="C30" s="232">
        <f>'Kertas Kerja'!E175</f>
        <v>0</v>
      </c>
      <c r="D30" s="229">
        <v>3.0666666666667002</v>
      </c>
      <c r="E30" s="229">
        <f t="shared" si="0"/>
        <v>0</v>
      </c>
      <c r="F30" s="217"/>
      <c r="G30" s="217"/>
      <c r="H30" s="217"/>
      <c r="I30" s="217"/>
      <c r="J30" s="217"/>
      <c r="K30" s="217"/>
    </row>
    <row r="31" spans="1:11" s="230" customFormat="1" ht="12" customHeight="1" x14ac:dyDescent="0.2">
      <c r="A31" s="227">
        <v>16</v>
      </c>
      <c r="B31" s="231">
        <f>'Kertas Kerja'!A177</f>
        <v>16</v>
      </c>
      <c r="C31" s="232">
        <f>'Kertas Kerja'!E189</f>
        <v>0</v>
      </c>
      <c r="D31" s="229">
        <v>1.5333333333332999</v>
      </c>
      <c r="E31" s="229">
        <f t="shared" si="0"/>
        <v>0</v>
      </c>
      <c r="F31" s="217"/>
      <c r="G31" s="217"/>
      <c r="H31" s="217"/>
      <c r="I31" s="217"/>
      <c r="J31" s="217"/>
      <c r="K31" s="217"/>
    </row>
    <row r="32" spans="1:11" s="230" customFormat="1" ht="26.1" customHeight="1" x14ac:dyDescent="0.2">
      <c r="A32" s="227">
        <v>17</v>
      </c>
      <c r="B32" s="231">
        <f>'Kertas Kerja'!A191</f>
        <v>17</v>
      </c>
      <c r="C32" s="232">
        <f>'Kertas Kerja'!E195</f>
        <v>2.6666666666666665</v>
      </c>
      <c r="D32" s="229">
        <v>0.74343434343434001</v>
      </c>
      <c r="E32" s="229">
        <f t="shared" si="0"/>
        <v>1.9824915824915732</v>
      </c>
      <c r="F32" s="217" t="s">
        <v>840</v>
      </c>
      <c r="G32" s="217" t="str">
        <f>IF(C32&gt;=2," TERPENUHI","TIDAK TERPENUHI")</f>
        <v xml:space="preserve"> TERPENUHI</v>
      </c>
      <c r="H32" s="217"/>
      <c r="I32" s="217"/>
      <c r="J32" s="217"/>
      <c r="K32" s="217"/>
    </row>
    <row r="33" spans="1:11" s="230" customFormat="1" ht="26.1" customHeight="1" x14ac:dyDescent="0.2">
      <c r="A33" s="227">
        <v>18</v>
      </c>
      <c r="B33" s="231">
        <f>'Kertas Kerja'!A197</f>
        <v>18</v>
      </c>
      <c r="C33" s="232">
        <f>'Kertas Kerja'!E202</f>
        <v>3</v>
      </c>
      <c r="D33" s="229">
        <v>0.99124579124579004</v>
      </c>
      <c r="E33" s="229">
        <f t="shared" si="0"/>
        <v>2.9737373737373702</v>
      </c>
      <c r="F33" s="217"/>
      <c r="G33" s="217"/>
      <c r="H33" s="217" t="s">
        <v>841</v>
      </c>
      <c r="I33" s="217" t="str">
        <f>IF(C33&gt;=3.5," TERPENUHI","TIDAK TERPENUHI")</f>
        <v>TIDAK TERPENUHI</v>
      </c>
      <c r="J33" s="217" t="s">
        <v>842</v>
      </c>
      <c r="K33" s="217" t="str">
        <f>IF(C33&gt;=3," TERPENUHI","TIDAK TERPENUHI")</f>
        <v xml:space="preserve"> TERPENUHI</v>
      </c>
    </row>
    <row r="34" spans="1:11" s="230" customFormat="1" ht="26.1" customHeight="1" x14ac:dyDescent="0.2">
      <c r="A34" s="227">
        <v>20</v>
      </c>
      <c r="B34" s="231">
        <f>'Kertas Kerja'!A211</f>
        <v>19</v>
      </c>
      <c r="C34" s="232">
        <f>'Kertas Kerja'!E218</f>
        <v>4</v>
      </c>
      <c r="D34" s="229">
        <v>0.49562289562290002</v>
      </c>
      <c r="E34" s="229">
        <f t="shared" si="0"/>
        <v>1.9824915824916001</v>
      </c>
      <c r="F34" s="217"/>
      <c r="G34" s="217"/>
      <c r="H34" s="217" t="s">
        <v>841</v>
      </c>
      <c r="I34" s="217" t="str">
        <f>IF(C34&gt;=3.5," TERPENUHI","TIDAK TERPENUHI")</f>
        <v xml:space="preserve"> TERPENUHI</v>
      </c>
      <c r="J34" s="217" t="s">
        <v>842</v>
      </c>
      <c r="K34" s="217" t="str">
        <f>IF(C34&gt;=3," TERPENUHI","TIDAK TERPENUHI")</f>
        <v xml:space="preserve"> TERPENUHI</v>
      </c>
    </row>
    <row r="35" spans="1:11" s="230" customFormat="1" ht="12" customHeight="1" x14ac:dyDescent="0.2">
      <c r="A35" s="227">
        <v>21</v>
      </c>
      <c r="B35" s="231">
        <f>'Kertas Kerja'!A220</f>
        <v>20</v>
      </c>
      <c r="C35" s="232">
        <f>'Kertas Kerja'!E239</f>
        <v>0</v>
      </c>
      <c r="D35" s="229">
        <v>0.49562289562290002</v>
      </c>
      <c r="E35" s="229">
        <f t="shared" si="0"/>
        <v>0</v>
      </c>
      <c r="F35" s="217"/>
      <c r="G35" s="217"/>
      <c r="H35" s="217"/>
      <c r="I35" s="217"/>
      <c r="J35" s="217"/>
      <c r="K35" s="217"/>
    </row>
    <row r="36" spans="1:11" s="230" customFormat="1" ht="12" customHeight="1" x14ac:dyDescent="0.2">
      <c r="A36" s="227">
        <v>22</v>
      </c>
      <c r="B36" s="231">
        <f>'Kertas Kerja'!A241</f>
        <v>21</v>
      </c>
      <c r="C36" s="232">
        <f>'Kertas Kerja'!E247</f>
        <v>3.6583333333333252</v>
      </c>
      <c r="D36" s="229">
        <v>0.99124579124579004</v>
      </c>
      <c r="E36" s="229">
        <f t="shared" si="0"/>
        <v>3.6263075196408407</v>
      </c>
      <c r="F36" s="217"/>
      <c r="G36" s="217"/>
      <c r="H36" s="217"/>
      <c r="I36" s="217"/>
      <c r="J36" s="217"/>
      <c r="K36" s="217"/>
    </row>
    <row r="37" spans="1:11" s="230" customFormat="1" ht="12" customHeight="1" x14ac:dyDescent="0.2">
      <c r="A37" s="227">
        <v>23</v>
      </c>
      <c r="B37" s="231">
        <f>'Kertas Kerja'!A249</f>
        <v>22</v>
      </c>
      <c r="C37" s="232">
        <f>'Kertas Kerja'!E257</f>
        <v>0.44444444444446651</v>
      </c>
      <c r="D37" s="229">
        <v>0.24781144781145001</v>
      </c>
      <c r="E37" s="229">
        <f t="shared" si="0"/>
        <v>0.11013842124953881</v>
      </c>
      <c r="F37" s="217"/>
      <c r="G37" s="217"/>
      <c r="H37" s="217"/>
      <c r="I37" s="217"/>
      <c r="J37" s="217"/>
      <c r="K37" s="217"/>
    </row>
    <row r="38" spans="1:11" s="230" customFormat="1" ht="12" customHeight="1" x14ac:dyDescent="0.2">
      <c r="A38" s="227">
        <v>24</v>
      </c>
      <c r="B38" s="231">
        <f>'Kertas Kerja'!A259</f>
        <v>23</v>
      </c>
      <c r="C38" s="232">
        <f>'Kertas Kerja'!E265</f>
        <v>0</v>
      </c>
      <c r="D38" s="229">
        <v>0.49562289562290002</v>
      </c>
      <c r="E38" s="229">
        <f t="shared" si="0"/>
        <v>0</v>
      </c>
      <c r="F38" s="217"/>
      <c r="G38" s="217"/>
      <c r="H38" s="217"/>
      <c r="I38" s="217"/>
      <c r="J38" s="217"/>
      <c r="K38" s="217"/>
    </row>
    <row r="39" spans="1:11" s="230" customFormat="1" ht="12" customHeight="1" x14ac:dyDescent="0.2">
      <c r="A39" s="227">
        <v>26</v>
      </c>
      <c r="B39" s="231">
        <f>'Kertas Kerja'!A274</f>
        <v>24</v>
      </c>
      <c r="C39" s="232">
        <f>'Kertas Kerja'!E279</f>
        <v>2</v>
      </c>
      <c r="D39" s="229">
        <v>0.81101928374655996</v>
      </c>
      <c r="E39" s="229">
        <f t="shared" si="0"/>
        <v>1.6220385674931199</v>
      </c>
      <c r="F39" s="217"/>
      <c r="G39" s="217"/>
      <c r="H39" s="217"/>
      <c r="I39" s="217"/>
      <c r="J39" s="217"/>
      <c r="K39" s="217"/>
    </row>
    <row r="40" spans="1:11" s="230" customFormat="1" ht="12" customHeight="1" x14ac:dyDescent="0.2">
      <c r="A40" s="227">
        <v>27</v>
      </c>
      <c r="B40" s="231">
        <f>'Kertas Kerja'!A281</f>
        <v>25</v>
      </c>
      <c r="C40" s="232">
        <f>'Kertas Kerja'!E297</f>
        <v>2</v>
      </c>
      <c r="D40" s="229">
        <v>0.81101928374655996</v>
      </c>
      <c r="E40" s="229">
        <f t="shared" si="0"/>
        <v>1.6220385674931199</v>
      </c>
      <c r="F40" s="217"/>
      <c r="G40" s="217"/>
      <c r="H40" s="217"/>
      <c r="I40" s="217"/>
      <c r="J40" s="217"/>
      <c r="K40" s="217"/>
    </row>
    <row r="41" spans="1:11" s="230" customFormat="1" ht="12" customHeight="1" x14ac:dyDescent="0.2">
      <c r="A41" s="227">
        <v>28</v>
      </c>
      <c r="B41" s="231">
        <f>'Kertas Kerja'!A299</f>
        <v>26</v>
      </c>
      <c r="C41" s="232">
        <f>'Kertas Kerja'!E315</f>
        <v>2</v>
      </c>
      <c r="D41" s="229">
        <v>0.40550964187327998</v>
      </c>
      <c r="E41" s="229">
        <f t="shared" si="0"/>
        <v>0.81101928374655996</v>
      </c>
      <c r="F41" s="217"/>
      <c r="G41" s="217"/>
      <c r="H41" s="217"/>
      <c r="I41" s="217"/>
      <c r="J41" s="217"/>
      <c r="K41" s="217"/>
    </row>
    <row r="42" spans="1:11" s="230" customFormat="1" ht="12" customHeight="1" x14ac:dyDescent="0.2">
      <c r="A42" s="227">
        <v>29</v>
      </c>
      <c r="B42" s="231">
        <f>'Kertas Kerja'!A317</f>
        <v>27</v>
      </c>
      <c r="C42" s="232">
        <f>'Kertas Kerja'!E340</f>
        <v>4</v>
      </c>
      <c r="D42" s="229">
        <v>0.81101928374655996</v>
      </c>
      <c r="E42" s="229">
        <f t="shared" si="0"/>
        <v>3.2440771349862398</v>
      </c>
      <c r="F42" s="217"/>
      <c r="G42" s="217"/>
      <c r="H42" s="217"/>
      <c r="I42" s="217"/>
      <c r="J42" s="217"/>
      <c r="K42" s="217"/>
    </row>
    <row r="43" spans="1:11" s="230" customFormat="1" ht="12" customHeight="1" x14ac:dyDescent="0.2">
      <c r="A43" s="227">
        <v>30</v>
      </c>
      <c r="B43" s="231">
        <f>'Kertas Kerja'!A342</f>
        <v>28</v>
      </c>
      <c r="C43" s="232">
        <f>'Kertas Kerja'!E347</f>
        <v>4</v>
      </c>
      <c r="D43" s="229">
        <v>0.81101928374655996</v>
      </c>
      <c r="E43" s="229">
        <f t="shared" si="0"/>
        <v>3.2440771349862398</v>
      </c>
      <c r="F43" s="217"/>
      <c r="G43" s="217"/>
      <c r="H43" s="217"/>
      <c r="I43" s="217"/>
      <c r="J43" s="217"/>
      <c r="K43" s="217"/>
    </row>
    <row r="44" spans="1:11" s="230" customFormat="1" ht="12" customHeight="1" x14ac:dyDescent="0.2">
      <c r="A44" s="227">
        <v>32</v>
      </c>
      <c r="B44" s="231">
        <f>'Kertas Kerja'!A356</f>
        <v>29</v>
      </c>
      <c r="C44" s="232">
        <f>'Kertas Kerja'!E364</f>
        <v>2</v>
      </c>
      <c r="D44" s="229">
        <v>0.81101928374655996</v>
      </c>
      <c r="E44" s="229">
        <f t="shared" si="0"/>
        <v>1.6220385674931199</v>
      </c>
      <c r="F44" s="217"/>
      <c r="G44" s="217"/>
      <c r="H44" s="217"/>
      <c r="I44" s="217"/>
      <c r="J44" s="217"/>
      <c r="K44" s="217"/>
    </row>
    <row r="45" spans="1:11" s="230" customFormat="1" ht="12" customHeight="1" x14ac:dyDescent="0.2">
      <c r="A45" s="227">
        <v>33</v>
      </c>
      <c r="B45" s="231">
        <f>'Kertas Kerja'!A366</f>
        <v>30</v>
      </c>
      <c r="C45" s="232">
        <f>'Kertas Kerja'!E373</f>
        <v>0</v>
      </c>
      <c r="D45" s="229">
        <v>2.2303030303029998</v>
      </c>
      <c r="E45" s="229">
        <f t="shared" si="0"/>
        <v>0</v>
      </c>
      <c r="F45" s="217"/>
      <c r="G45" s="217"/>
      <c r="H45" s="217"/>
      <c r="I45" s="217"/>
      <c r="J45" s="217"/>
      <c r="K45" s="217"/>
    </row>
    <row r="46" spans="1:11" s="230" customFormat="1" ht="12" customHeight="1" x14ac:dyDescent="0.2">
      <c r="A46" s="227">
        <v>34</v>
      </c>
      <c r="B46" s="231">
        <f>'Kertas Kerja'!A375</f>
        <v>31</v>
      </c>
      <c r="C46" s="232">
        <f>'Kertas Kerja'!E387</f>
        <v>0</v>
      </c>
      <c r="D46" s="229">
        <v>1.1151515151514999</v>
      </c>
      <c r="E46" s="229">
        <f t="shared" si="0"/>
        <v>0</v>
      </c>
      <c r="F46" s="217"/>
      <c r="G46" s="217"/>
      <c r="H46" s="217"/>
      <c r="I46" s="217"/>
      <c r="J46" s="217"/>
      <c r="K46" s="217"/>
    </row>
    <row r="47" spans="1:11" s="230" customFormat="1" ht="12" customHeight="1" x14ac:dyDescent="0.2">
      <c r="A47" s="227">
        <v>35</v>
      </c>
      <c r="B47" s="231">
        <f>'Kertas Kerja'!A389</f>
        <v>32</v>
      </c>
      <c r="C47" s="232">
        <f>'Kertas Kerja'!E394</f>
        <v>6.2513455657492348E-2</v>
      </c>
      <c r="D47" s="229">
        <v>0.76666666666667005</v>
      </c>
      <c r="E47" s="229">
        <f t="shared" si="0"/>
        <v>4.7926982670744342E-2</v>
      </c>
      <c r="F47" s="217"/>
      <c r="G47" s="217"/>
      <c r="H47" s="217"/>
      <c r="I47" s="217"/>
      <c r="J47" s="217"/>
      <c r="K47" s="217"/>
    </row>
    <row r="48" spans="1:11" s="230" customFormat="1" ht="12" customHeight="1" x14ac:dyDescent="0.2">
      <c r="A48" s="227">
        <v>36</v>
      </c>
      <c r="B48" s="231">
        <f>'Kertas Kerja'!A396</f>
        <v>33</v>
      </c>
      <c r="C48" s="232">
        <f>'Kertas Kerja'!E401</f>
        <v>0.39999999999999997</v>
      </c>
      <c r="D48" s="229">
        <v>0.76666666666667005</v>
      </c>
      <c r="E48" s="229">
        <f t="shared" ref="E48:E79" si="1">C48*D48</f>
        <v>0.30666666666666798</v>
      </c>
      <c r="F48" s="217"/>
      <c r="G48" s="217"/>
      <c r="H48" s="217"/>
      <c r="I48" s="217"/>
      <c r="J48" s="217"/>
      <c r="K48" s="217"/>
    </row>
    <row r="49" spans="1:11" s="230" customFormat="1" ht="12" customHeight="1" x14ac:dyDescent="0.2">
      <c r="A49" s="227">
        <v>37</v>
      </c>
      <c r="B49" s="231">
        <f>'Kertas Kerja'!A403</f>
        <v>34</v>
      </c>
      <c r="C49" s="232">
        <f>'Kertas Kerja'!E408</f>
        <v>1.0172839555555555</v>
      </c>
      <c r="D49" s="229">
        <v>0.38333333333332997</v>
      </c>
      <c r="E49" s="229">
        <f t="shared" si="1"/>
        <v>0.38995884962962618</v>
      </c>
      <c r="F49" s="217"/>
      <c r="G49" s="217"/>
      <c r="H49" s="217"/>
      <c r="I49" s="217"/>
      <c r="J49" s="217"/>
      <c r="K49" s="217"/>
    </row>
    <row r="50" spans="1:11" s="230" customFormat="1" ht="12" customHeight="1" x14ac:dyDescent="0.2">
      <c r="A50" s="227">
        <v>38</v>
      </c>
      <c r="B50" s="231">
        <f>'Kertas Kerja'!A410</f>
        <v>35</v>
      </c>
      <c r="C50" s="232">
        <f>'Kertas Kerja'!E417</f>
        <v>0</v>
      </c>
      <c r="D50" s="229">
        <v>0.38333333333332997</v>
      </c>
      <c r="E50" s="229">
        <f t="shared" si="1"/>
        <v>0</v>
      </c>
      <c r="F50" s="217"/>
      <c r="G50" s="217"/>
      <c r="H50" s="217"/>
      <c r="I50" s="217"/>
      <c r="J50" s="217"/>
      <c r="K50" s="217"/>
    </row>
    <row r="51" spans="1:11" s="230" customFormat="1" ht="12" customHeight="1" x14ac:dyDescent="0.2">
      <c r="A51" s="227">
        <v>39</v>
      </c>
      <c r="B51" s="231">
        <f>'Kertas Kerja'!A419</f>
        <v>36</v>
      </c>
      <c r="C51" s="232">
        <f>'Kertas Kerja'!E425</f>
        <v>0</v>
      </c>
      <c r="D51" s="229">
        <v>0.76666666666667005</v>
      </c>
      <c r="E51" s="229">
        <f t="shared" si="1"/>
        <v>0</v>
      </c>
      <c r="F51" s="217"/>
      <c r="G51" s="217"/>
      <c r="H51" s="217"/>
      <c r="I51" s="217"/>
      <c r="J51" s="217"/>
      <c r="K51" s="217"/>
    </row>
    <row r="52" spans="1:11" s="230" customFormat="1" ht="12" customHeight="1" x14ac:dyDescent="0.2">
      <c r="A52" s="227">
        <v>40</v>
      </c>
      <c r="B52" s="231">
        <f>'Kertas Kerja'!A427</f>
        <v>37</v>
      </c>
      <c r="C52" s="232">
        <f>'Kertas Kerja'!E433</f>
        <v>0</v>
      </c>
      <c r="D52" s="229">
        <v>3.0666666666667002</v>
      </c>
      <c r="E52" s="229">
        <f t="shared" si="1"/>
        <v>0</v>
      </c>
      <c r="F52" s="217"/>
      <c r="G52" s="217"/>
      <c r="H52" s="217"/>
      <c r="I52" s="217"/>
      <c r="J52" s="217"/>
      <c r="K52" s="217"/>
    </row>
    <row r="53" spans="1:11" s="230" customFormat="1" ht="26.1" customHeight="1" x14ac:dyDescent="0.2">
      <c r="A53" s="227">
        <v>41</v>
      </c>
      <c r="B53" s="231">
        <f>'Kertas Kerja'!A435</f>
        <v>38</v>
      </c>
      <c r="C53" s="232">
        <f>'Kertas Kerja'!E453</f>
        <v>0</v>
      </c>
      <c r="D53" s="229">
        <v>2.5090909090908999</v>
      </c>
      <c r="E53" s="229">
        <f t="shared" si="1"/>
        <v>0</v>
      </c>
      <c r="F53" s="217" t="s">
        <v>840</v>
      </c>
      <c r="G53" s="217" t="str">
        <f>IF(C53&gt;=2," TERPENUHI","TIDAK TERPENUHI")</f>
        <v>TIDAK TERPENUHI</v>
      </c>
      <c r="H53" s="217"/>
      <c r="I53" s="217"/>
      <c r="J53" s="217"/>
      <c r="K53" s="217"/>
    </row>
    <row r="54" spans="1:11" s="230" customFormat="1" ht="12" customHeight="1" x14ac:dyDescent="0.2">
      <c r="A54" s="227">
        <v>42</v>
      </c>
      <c r="B54" s="231">
        <f>'Kertas Kerja'!A455</f>
        <v>39</v>
      </c>
      <c r="C54" s="232">
        <f>'Kertas Kerja'!E461</f>
        <v>0</v>
      </c>
      <c r="D54" s="229">
        <v>0.83636363636363997</v>
      </c>
      <c r="E54" s="229">
        <f t="shared" si="1"/>
        <v>0</v>
      </c>
      <c r="F54" s="217"/>
      <c r="G54" s="217"/>
      <c r="H54" s="217"/>
      <c r="I54" s="217"/>
      <c r="J54" s="217"/>
      <c r="K54" s="217"/>
    </row>
    <row r="55" spans="1:11" s="230" customFormat="1" ht="12" customHeight="1" x14ac:dyDescent="0.2">
      <c r="A55" s="227">
        <v>43</v>
      </c>
      <c r="B55" s="231">
        <f>'Kertas Kerja'!A463</f>
        <v>40</v>
      </c>
      <c r="C55" s="232">
        <f>'Kertas Kerja'!E475</f>
        <v>0</v>
      </c>
      <c r="D55" s="229">
        <v>1.6727272727272999</v>
      </c>
      <c r="E55" s="229">
        <f t="shared" si="1"/>
        <v>0</v>
      </c>
      <c r="F55" s="217"/>
      <c r="G55" s="217"/>
      <c r="H55" s="217"/>
      <c r="I55" s="217"/>
      <c r="J55" s="217"/>
      <c r="K55" s="217"/>
    </row>
    <row r="56" spans="1:11" s="230" customFormat="1" ht="12" customHeight="1" x14ac:dyDescent="0.2">
      <c r="A56" s="227">
        <v>44</v>
      </c>
      <c r="B56" s="231">
        <f>'Kertas Kerja'!A477</f>
        <v>41</v>
      </c>
      <c r="C56" s="232">
        <f>'Kertas Kerja'!E507</f>
        <v>0</v>
      </c>
      <c r="D56" s="229">
        <v>1.1151515151514999</v>
      </c>
      <c r="E56" s="229">
        <f t="shared" si="1"/>
        <v>0</v>
      </c>
      <c r="F56" s="217"/>
      <c r="G56" s="217"/>
      <c r="H56" s="217"/>
      <c r="I56" s="217"/>
      <c r="J56" s="217"/>
      <c r="K56" s="217"/>
    </row>
    <row r="57" spans="1:11" s="230" customFormat="1" ht="12" customHeight="1" x14ac:dyDescent="0.2">
      <c r="A57" s="227">
        <v>45</v>
      </c>
      <c r="B57" s="231">
        <f>'Kertas Kerja'!A509</f>
        <v>42</v>
      </c>
      <c r="C57" s="232">
        <f>'Kertas Kerja'!E514</f>
        <v>1.5094339622641508</v>
      </c>
      <c r="D57" s="229">
        <v>0.55757575757575994</v>
      </c>
      <c r="E57" s="229">
        <f t="shared" si="1"/>
        <v>0.841623785020015</v>
      </c>
      <c r="F57" s="217"/>
      <c r="G57" s="217"/>
      <c r="H57" s="217"/>
      <c r="I57" s="217"/>
      <c r="J57" s="217"/>
      <c r="K57" s="217"/>
    </row>
    <row r="58" spans="1:11" s="230" customFormat="1" ht="12" customHeight="1" x14ac:dyDescent="0.2">
      <c r="A58" s="227">
        <v>46</v>
      </c>
      <c r="B58" s="231">
        <f>'Kertas Kerja'!A516</f>
        <v>43</v>
      </c>
      <c r="C58" s="234">
        <f>'Kertas Kerja'!E522</f>
        <v>0</v>
      </c>
      <c r="D58" s="229">
        <v>2.5090909090908999</v>
      </c>
      <c r="E58" s="229">
        <f t="shared" si="1"/>
        <v>0</v>
      </c>
      <c r="F58" s="217"/>
      <c r="G58" s="217"/>
      <c r="H58" s="217"/>
      <c r="I58" s="217"/>
      <c r="J58" s="217"/>
      <c r="K58" s="217"/>
    </row>
    <row r="59" spans="1:11" s="230" customFormat="1" ht="12" customHeight="1" x14ac:dyDescent="0.2">
      <c r="A59" s="227">
        <v>47</v>
      </c>
      <c r="B59" s="231">
        <f>'Kertas Kerja'!A524</f>
        <v>44</v>
      </c>
      <c r="C59" s="235">
        <f>'Kertas Kerja'!E554</f>
        <v>0</v>
      </c>
      <c r="D59" s="229">
        <v>1.6727272727272999</v>
      </c>
      <c r="E59" s="229">
        <f t="shared" si="1"/>
        <v>0</v>
      </c>
      <c r="F59" s="217"/>
      <c r="G59" s="217"/>
      <c r="H59" s="217"/>
      <c r="I59" s="217"/>
      <c r="J59" s="217"/>
      <c r="K59" s="217"/>
    </row>
    <row r="60" spans="1:11" s="230" customFormat="1" ht="12" customHeight="1" x14ac:dyDescent="0.2">
      <c r="A60" s="227">
        <v>48</v>
      </c>
      <c r="B60" s="231">
        <f>'Kertas Kerja'!A556</f>
        <v>45</v>
      </c>
      <c r="C60" s="234">
        <f>'Kertas Kerja'!E562</f>
        <v>2</v>
      </c>
      <c r="D60" s="229">
        <v>1.6727272727272999</v>
      </c>
      <c r="E60" s="229">
        <f t="shared" si="1"/>
        <v>3.3454545454545999</v>
      </c>
      <c r="F60" s="217"/>
      <c r="G60" s="217"/>
      <c r="H60" s="217"/>
      <c r="I60" s="217"/>
      <c r="J60" s="217"/>
      <c r="K60" s="217"/>
    </row>
    <row r="61" spans="1:11" s="230" customFormat="1" ht="12" customHeight="1" x14ac:dyDescent="0.2">
      <c r="A61" s="227">
        <v>49</v>
      </c>
      <c r="B61" s="231">
        <f>'Kertas Kerja'!A564</f>
        <v>46</v>
      </c>
      <c r="C61" s="234">
        <f>'Kertas Kerja'!E570</f>
        <v>0</v>
      </c>
      <c r="D61" s="229">
        <v>2.5090909090908999</v>
      </c>
      <c r="E61" s="229">
        <f t="shared" si="1"/>
        <v>0</v>
      </c>
      <c r="F61" s="217"/>
      <c r="G61" s="217"/>
      <c r="H61" s="217"/>
      <c r="I61" s="217"/>
      <c r="J61" s="217"/>
      <c r="K61" s="217"/>
    </row>
    <row r="62" spans="1:11" s="230" customFormat="1" ht="12" customHeight="1" x14ac:dyDescent="0.2">
      <c r="A62" s="227">
        <v>50</v>
      </c>
      <c r="B62" s="231">
        <f>'Kertas Kerja'!A572</f>
        <v>47</v>
      </c>
      <c r="C62" s="234">
        <f>'Kertas Kerja'!E609</f>
        <v>3.5866666666666664</v>
      </c>
      <c r="D62" s="229">
        <v>3.3454545454544999</v>
      </c>
      <c r="E62" s="229">
        <f t="shared" si="1"/>
        <v>11.999030303030139</v>
      </c>
      <c r="F62" s="217"/>
      <c r="G62" s="217"/>
      <c r="H62" s="217"/>
      <c r="I62" s="217"/>
      <c r="J62" s="217"/>
      <c r="K62" s="217"/>
    </row>
    <row r="63" spans="1:11" s="230" customFormat="1" ht="12" customHeight="1" x14ac:dyDescent="0.2">
      <c r="A63" s="227">
        <v>51</v>
      </c>
      <c r="B63" s="231">
        <f>'Kertas Kerja'!A611</f>
        <v>48</v>
      </c>
      <c r="C63" s="234">
        <f>'Kertas Kerja'!E617</f>
        <v>0</v>
      </c>
      <c r="D63" s="229">
        <v>1.5333333333332999</v>
      </c>
      <c r="E63" s="229">
        <f t="shared" si="1"/>
        <v>0</v>
      </c>
      <c r="F63" s="217"/>
      <c r="G63" s="217"/>
      <c r="H63" s="217"/>
      <c r="I63" s="217"/>
      <c r="J63" s="217"/>
      <c r="K63" s="217"/>
    </row>
    <row r="64" spans="1:11" s="230" customFormat="1" ht="12" customHeight="1" x14ac:dyDescent="0.2">
      <c r="A64" s="227">
        <v>52</v>
      </c>
      <c r="B64" s="231">
        <f>'Kertas Kerja'!A619</f>
        <v>49</v>
      </c>
      <c r="C64" s="234">
        <f>'Kertas Kerja'!E624</f>
        <v>3.333333333333333</v>
      </c>
      <c r="D64" s="229">
        <v>3.0666666666667002</v>
      </c>
      <c r="E64" s="229">
        <f t="shared" si="1"/>
        <v>10.222222222222333</v>
      </c>
      <c r="F64" s="217"/>
      <c r="G64" s="217"/>
      <c r="H64" s="217"/>
      <c r="I64" s="217"/>
      <c r="J64" s="217"/>
      <c r="K64" s="217"/>
    </row>
    <row r="65" spans="1:11" s="230" customFormat="1" ht="12" customHeight="1" x14ac:dyDescent="0.2">
      <c r="A65" s="227">
        <v>54</v>
      </c>
      <c r="B65" s="231">
        <f>'Kertas Kerja'!A633</f>
        <v>50</v>
      </c>
      <c r="C65" s="234">
        <f>'Kertas Kerja'!E639</f>
        <v>0</v>
      </c>
      <c r="D65" s="229">
        <v>0.51111111111110996</v>
      </c>
      <c r="E65" s="229">
        <f t="shared" si="1"/>
        <v>0</v>
      </c>
      <c r="F65" s="217"/>
      <c r="G65" s="217"/>
      <c r="H65" s="217"/>
      <c r="I65" s="217"/>
      <c r="J65" s="217"/>
      <c r="K65" s="217"/>
    </row>
    <row r="66" spans="1:11" s="230" customFormat="1" ht="12" customHeight="1" x14ac:dyDescent="0.2">
      <c r="A66" s="227">
        <v>55</v>
      </c>
      <c r="B66" s="231">
        <f>'Kertas Kerja'!A641</f>
        <v>51</v>
      </c>
      <c r="C66" s="234">
        <f>'Kertas Kerja'!E646</f>
        <v>3.333333333333333</v>
      </c>
      <c r="D66" s="229">
        <v>1.0222222222221999</v>
      </c>
      <c r="E66" s="229">
        <f t="shared" si="1"/>
        <v>3.4074074074073328</v>
      </c>
      <c r="F66" s="217"/>
      <c r="G66" s="217"/>
      <c r="H66" s="217"/>
      <c r="I66" s="217"/>
      <c r="J66" s="217"/>
      <c r="K66" s="217"/>
    </row>
    <row r="67" spans="1:11" s="230" customFormat="1" ht="12" customHeight="1" x14ac:dyDescent="0.2">
      <c r="A67" s="227">
        <v>56</v>
      </c>
      <c r="B67" s="231">
        <f>'Kertas Kerja'!A648</f>
        <v>52</v>
      </c>
      <c r="C67" s="234">
        <f>'Kertas Kerja'!E654</f>
        <v>0</v>
      </c>
      <c r="D67" s="229">
        <v>1.9166666666667</v>
      </c>
      <c r="E67" s="229">
        <f t="shared" si="1"/>
        <v>0</v>
      </c>
      <c r="F67" s="217"/>
      <c r="G67" s="217"/>
      <c r="H67" s="217"/>
      <c r="I67" s="217"/>
      <c r="J67" s="217"/>
      <c r="K67" s="217"/>
    </row>
    <row r="68" spans="1:11" s="230" customFormat="1" ht="12" customHeight="1" x14ac:dyDescent="0.2">
      <c r="A68" s="227">
        <v>57</v>
      </c>
      <c r="B68" s="231">
        <f>'Kertas Kerja'!A656</f>
        <v>53</v>
      </c>
      <c r="C68" s="234">
        <f>'Kertas Kerja'!E666</f>
        <v>4</v>
      </c>
      <c r="D68" s="229">
        <v>1.9166666666667</v>
      </c>
      <c r="E68" s="229">
        <f t="shared" si="1"/>
        <v>7.6666666666668002</v>
      </c>
      <c r="F68" s="217"/>
      <c r="G68" s="217"/>
      <c r="H68" s="217"/>
      <c r="I68" s="217"/>
      <c r="J68" s="217"/>
      <c r="K68" s="217"/>
    </row>
    <row r="69" spans="1:11" s="230" customFormat="1" ht="12" customHeight="1" x14ac:dyDescent="0.2">
      <c r="A69" s="227">
        <v>58</v>
      </c>
      <c r="B69" s="231">
        <f>'Kertas Kerja'!A668</f>
        <v>54</v>
      </c>
      <c r="C69" s="234">
        <f>'Kertas Kerja'!E684</f>
        <v>0</v>
      </c>
      <c r="D69" s="229">
        <v>2.875</v>
      </c>
      <c r="E69" s="229">
        <f t="shared" si="1"/>
        <v>0</v>
      </c>
      <c r="F69" s="217"/>
      <c r="G69" s="217"/>
      <c r="H69" s="217"/>
      <c r="I69" s="217"/>
      <c r="J69" s="217"/>
      <c r="K69" s="217"/>
    </row>
    <row r="70" spans="1:11" s="230" customFormat="1" ht="12" customHeight="1" x14ac:dyDescent="0.2">
      <c r="A70" s="227">
        <v>59</v>
      </c>
      <c r="B70" s="231">
        <f>'Kertas Kerja'!A686</f>
        <v>55</v>
      </c>
      <c r="C70" s="234">
        <f>'Kertas Kerja'!E702</f>
        <v>0.68807339449541283</v>
      </c>
      <c r="D70" s="229">
        <v>0.95833333333333004</v>
      </c>
      <c r="E70" s="229">
        <f t="shared" si="1"/>
        <v>0.65940366972476838</v>
      </c>
      <c r="F70" s="217"/>
      <c r="G70" s="217"/>
      <c r="H70" s="217"/>
      <c r="I70" s="217"/>
      <c r="J70" s="217"/>
      <c r="K70" s="217"/>
    </row>
    <row r="71" spans="1:11" s="230" customFormat="1" ht="12" customHeight="1" x14ac:dyDescent="0.2">
      <c r="A71" s="227">
        <v>60</v>
      </c>
      <c r="B71" s="231">
        <f>'Kertas Kerja'!A704</f>
        <v>56</v>
      </c>
      <c r="C71" s="229">
        <f>'Kertas Kerja'!E716</f>
        <v>0</v>
      </c>
      <c r="D71" s="229">
        <v>1.9166666666667</v>
      </c>
      <c r="E71" s="229">
        <f t="shared" si="1"/>
        <v>0</v>
      </c>
      <c r="F71" s="217"/>
      <c r="G71" s="217"/>
      <c r="H71" s="217"/>
      <c r="I71" s="217"/>
      <c r="J71" s="217"/>
      <c r="K71" s="217"/>
    </row>
    <row r="72" spans="1:11" s="230" customFormat="1" ht="12" customHeight="1" x14ac:dyDescent="0.2">
      <c r="A72" s="227">
        <v>61</v>
      </c>
      <c r="B72" s="231">
        <f>'Kertas Kerja'!A718</f>
        <v>57</v>
      </c>
      <c r="C72" s="229">
        <f>'Kertas Kerja'!E731</f>
        <v>1.1573770491803279</v>
      </c>
      <c r="D72" s="229">
        <v>1.9166666666667</v>
      </c>
      <c r="E72" s="229">
        <f t="shared" si="1"/>
        <v>2.2183060109290005</v>
      </c>
      <c r="F72" s="217"/>
      <c r="G72" s="217"/>
      <c r="H72" s="217"/>
      <c r="I72" s="217"/>
      <c r="J72" s="217"/>
      <c r="K72" s="217"/>
    </row>
    <row r="73" spans="1:11" s="230" customFormat="1" ht="12" customHeight="1" x14ac:dyDescent="0.2">
      <c r="A73" s="227">
        <v>62</v>
      </c>
      <c r="B73" s="231">
        <f>'Kertas Kerja'!A733</f>
        <v>58</v>
      </c>
      <c r="C73" s="229">
        <f>'Kertas Kerja'!E743</f>
        <v>0</v>
      </c>
      <c r="D73" s="232">
        <v>1.9166666666667</v>
      </c>
      <c r="E73" s="229">
        <f t="shared" si="1"/>
        <v>0</v>
      </c>
      <c r="F73" s="217"/>
      <c r="G73" s="217"/>
      <c r="H73" s="217"/>
      <c r="I73" s="217"/>
      <c r="J73" s="217"/>
      <c r="K73" s="217"/>
    </row>
    <row r="74" spans="1:11" s="230" customFormat="1" ht="12" customHeight="1" x14ac:dyDescent="0.2">
      <c r="A74" s="227">
        <v>63</v>
      </c>
      <c r="B74" s="231">
        <f>'Kertas Kerja'!A745</f>
        <v>59</v>
      </c>
      <c r="C74" s="229">
        <f>'Kertas Kerja'!E751</f>
        <v>0</v>
      </c>
      <c r="D74" s="232">
        <v>2.875</v>
      </c>
      <c r="E74" s="229">
        <f t="shared" si="1"/>
        <v>0</v>
      </c>
      <c r="F74" s="217"/>
      <c r="G74" s="217"/>
      <c r="H74" s="217"/>
      <c r="I74" s="217"/>
      <c r="J74" s="217"/>
      <c r="K74" s="217"/>
    </row>
    <row r="75" spans="1:11" s="230" customFormat="1" ht="26.1" customHeight="1" x14ac:dyDescent="0.2">
      <c r="A75" s="227">
        <v>64</v>
      </c>
      <c r="B75" s="231">
        <f>'Kertas Kerja'!A753</f>
        <v>60</v>
      </c>
      <c r="C75" s="229">
        <f>'Kertas Kerja'!E781</f>
        <v>2</v>
      </c>
      <c r="D75" s="232">
        <v>2.875</v>
      </c>
      <c r="E75" s="229">
        <f t="shared" si="1"/>
        <v>5.75</v>
      </c>
      <c r="F75" s="217"/>
      <c r="G75" s="217"/>
      <c r="H75" s="217" t="s">
        <v>841</v>
      </c>
      <c r="I75" s="217" t="str">
        <f>IF(C75&gt;=3.5," TERPENUHI","TIDAK TERPENUHI")</f>
        <v>TIDAK TERPENUHI</v>
      </c>
      <c r="J75" s="217" t="s">
        <v>842</v>
      </c>
      <c r="K75" s="217" t="str">
        <f>IF(C75&gt;=3," TERPENUHI","TIDAK TERPENUHI")</f>
        <v>TIDAK TERPENUHI</v>
      </c>
    </row>
    <row r="76" spans="1:11" s="230" customFormat="1" ht="26.1" customHeight="1" x14ac:dyDescent="0.2">
      <c r="A76" s="227">
        <v>65</v>
      </c>
      <c r="B76" s="231">
        <f>'Kertas Kerja'!A783</f>
        <v>61</v>
      </c>
      <c r="C76" s="229">
        <f>'Kertas Kerja'!E809</f>
        <v>2.9473684210526314</v>
      </c>
      <c r="D76" s="232">
        <v>1.9166666666667</v>
      </c>
      <c r="E76" s="229">
        <f t="shared" si="1"/>
        <v>5.6491228070176422</v>
      </c>
      <c r="F76" s="217"/>
      <c r="G76" s="217"/>
      <c r="H76" s="217" t="s">
        <v>841</v>
      </c>
      <c r="I76" s="217" t="str">
        <f>IF(C76&gt;=3.5," TERPENUHI","TIDAK TERPENUHI")</f>
        <v>TIDAK TERPENUHI</v>
      </c>
      <c r="J76" s="217" t="s">
        <v>842</v>
      </c>
      <c r="K76" s="217" t="str">
        <f>IF(C76&gt;=3," TERPENUHI","TIDAK TERPENUHI")</f>
        <v>TIDAK TERPENUHI</v>
      </c>
    </row>
    <row r="77" spans="1:11" s="230" customFormat="1" ht="12" customHeight="1" x14ac:dyDescent="0.2">
      <c r="A77" s="227">
        <v>66</v>
      </c>
      <c r="B77" s="231">
        <f>'Kertas Kerja'!A811</f>
        <v>62</v>
      </c>
      <c r="C77" s="229">
        <f>'Kertas Kerja'!E843</f>
        <v>0</v>
      </c>
      <c r="D77" s="229">
        <v>1.9166666666667</v>
      </c>
      <c r="E77" s="229">
        <f t="shared" si="1"/>
        <v>0</v>
      </c>
      <c r="F77" s="217"/>
      <c r="G77" s="217"/>
      <c r="H77" s="217"/>
      <c r="I77" s="217"/>
      <c r="J77" s="217"/>
      <c r="K77" s="217"/>
    </row>
    <row r="78" spans="1:11" s="230" customFormat="1" ht="12" customHeight="1" x14ac:dyDescent="0.2">
      <c r="A78" s="227">
        <v>67</v>
      </c>
      <c r="B78" s="231">
        <f>'Kertas Kerja'!A845</f>
        <v>63</v>
      </c>
      <c r="C78" s="229">
        <f>'Kertas Kerja'!E892</f>
        <v>0</v>
      </c>
      <c r="D78" s="229">
        <v>3.8333333333333002</v>
      </c>
      <c r="E78" s="229">
        <f t="shared" si="1"/>
        <v>0</v>
      </c>
      <c r="F78" s="217"/>
      <c r="G78" s="217"/>
      <c r="H78" s="217"/>
      <c r="I78" s="217"/>
      <c r="J78" s="217"/>
      <c r="K78" s="217"/>
    </row>
    <row r="79" spans="1:11" s="230" customFormat="1" ht="12" customHeight="1" x14ac:dyDescent="0.2">
      <c r="A79" s="227">
        <v>68</v>
      </c>
      <c r="B79" s="231">
        <f>'Kertas Kerja'!A894</f>
        <v>64</v>
      </c>
      <c r="C79" s="229">
        <f>'Kertas Kerja'!E917</f>
        <v>2.6422018348623855</v>
      </c>
      <c r="D79" s="229">
        <v>2.875</v>
      </c>
      <c r="E79" s="229">
        <f t="shared" si="1"/>
        <v>7.5963302752293584</v>
      </c>
      <c r="F79" s="217"/>
      <c r="G79" s="217"/>
      <c r="H79" s="217"/>
      <c r="I79" s="217"/>
      <c r="J79" s="217"/>
      <c r="K79" s="217"/>
    </row>
    <row r="80" spans="1:11" s="230" customFormat="1" ht="12" customHeight="1" x14ac:dyDescent="0.2">
      <c r="A80" s="227">
        <v>71</v>
      </c>
      <c r="B80" s="231">
        <f>'Kertas Kerja'!A929</f>
        <v>65</v>
      </c>
      <c r="C80" s="229">
        <f>'Kertas Kerja'!E936</f>
        <v>2</v>
      </c>
      <c r="D80" s="229">
        <v>0.95833333333333004</v>
      </c>
      <c r="E80" s="229">
        <f t="shared" ref="E80:E84" si="2">C80*D80</f>
        <v>1.9166666666666601</v>
      </c>
      <c r="F80" s="217"/>
      <c r="G80" s="217"/>
      <c r="H80" s="217"/>
      <c r="I80" s="217"/>
      <c r="J80" s="217"/>
      <c r="K80" s="217"/>
    </row>
    <row r="81" spans="1:11" s="230" customFormat="1" ht="12" customHeight="1" x14ac:dyDescent="0.2">
      <c r="A81" s="227">
        <v>72</v>
      </c>
      <c r="B81" s="231">
        <f>'Kertas Kerja'!A938</f>
        <v>66</v>
      </c>
      <c r="C81" s="229">
        <f>'Kertas Kerja'!E944</f>
        <v>0</v>
      </c>
      <c r="D81" s="229">
        <v>1.5</v>
      </c>
      <c r="E81" s="229">
        <f t="shared" si="2"/>
        <v>0</v>
      </c>
      <c r="F81" s="217"/>
      <c r="G81" s="217"/>
      <c r="H81" s="217"/>
      <c r="I81" s="217"/>
      <c r="J81" s="217"/>
      <c r="K81" s="217"/>
    </row>
    <row r="82" spans="1:11" s="230" customFormat="1" ht="12" customHeight="1" x14ac:dyDescent="0.2">
      <c r="A82" s="227">
        <v>73</v>
      </c>
      <c r="B82" s="231">
        <f>'Kertas Kerja'!A946</f>
        <v>67</v>
      </c>
      <c r="C82" s="229">
        <f>'Kertas Kerja'!E952</f>
        <v>0</v>
      </c>
      <c r="D82" s="229">
        <v>2</v>
      </c>
      <c r="E82" s="229">
        <f t="shared" si="2"/>
        <v>0</v>
      </c>
      <c r="F82" s="217"/>
      <c r="G82" s="217"/>
      <c r="H82" s="217"/>
      <c r="I82" s="217"/>
      <c r="J82" s="217"/>
      <c r="K82" s="217"/>
    </row>
    <row r="83" spans="1:11" s="230" customFormat="1" ht="12" customHeight="1" x14ac:dyDescent="0.2">
      <c r="A83" s="227">
        <v>74</v>
      </c>
      <c r="B83" s="231">
        <f>'Kertas Kerja'!A954</f>
        <v>68</v>
      </c>
      <c r="C83" s="229">
        <f>'Kertas Kerja'!E960</f>
        <v>0</v>
      </c>
      <c r="D83" s="229">
        <v>1.5</v>
      </c>
      <c r="E83" s="229">
        <f t="shared" si="2"/>
        <v>0</v>
      </c>
      <c r="F83" s="217"/>
      <c r="G83" s="217"/>
      <c r="H83" s="217"/>
      <c r="I83" s="217"/>
      <c r="J83" s="217"/>
      <c r="K83" s="217"/>
    </row>
    <row r="84" spans="1:11" s="230" customFormat="1" ht="12" customHeight="1" x14ac:dyDescent="0.2">
      <c r="A84" s="227">
        <v>75</v>
      </c>
      <c r="B84" s="231">
        <f>'Kertas Kerja'!A962</f>
        <v>69</v>
      </c>
      <c r="C84" s="229">
        <f>'Kertas Kerja'!E968</f>
        <v>0</v>
      </c>
      <c r="D84" s="229">
        <v>1</v>
      </c>
      <c r="E84" s="229">
        <f t="shared" si="2"/>
        <v>0</v>
      </c>
      <c r="F84" s="217"/>
      <c r="G84" s="217"/>
      <c r="H84" s="217"/>
      <c r="I84" s="217"/>
      <c r="J84" s="217"/>
      <c r="K84" s="217"/>
    </row>
    <row r="85" spans="1:11" s="218" customFormat="1" ht="15" customHeight="1" x14ac:dyDescent="0.25">
      <c r="A85" s="236"/>
      <c r="B85" s="236"/>
      <c r="C85" s="237"/>
      <c r="F85" s="219"/>
      <c r="G85" s="219"/>
      <c r="H85" s="219"/>
    </row>
    <row r="86" spans="1:11" s="218" customFormat="1" ht="15" customHeight="1" x14ac:dyDescent="0.25">
      <c r="A86" s="236"/>
      <c r="B86" s="236"/>
      <c r="C86" s="237"/>
      <c r="F86" s="219"/>
      <c r="G86" s="219"/>
      <c r="H86" s="219"/>
    </row>
    <row r="87" spans="1:11" s="218" customFormat="1" ht="15" customHeight="1" x14ac:dyDescent="0.25">
      <c r="A87" s="236"/>
      <c r="B87" s="236"/>
      <c r="C87" s="237"/>
      <c r="F87" s="219"/>
      <c r="G87" s="219"/>
      <c r="H87" s="219"/>
    </row>
    <row r="88" spans="1:11" s="218" customFormat="1" ht="15" customHeight="1" x14ac:dyDescent="0.25">
      <c r="A88" s="236"/>
      <c r="B88" s="236"/>
      <c r="C88" s="237"/>
      <c r="F88" s="219"/>
      <c r="G88" s="219"/>
      <c r="H88" s="219"/>
    </row>
    <row r="89" spans="1:11" s="218" customFormat="1" ht="15" customHeight="1" x14ac:dyDescent="0.25">
      <c r="A89" s="236"/>
      <c r="B89" s="236"/>
      <c r="C89" s="237"/>
      <c r="F89" s="219"/>
      <c r="G89" s="219"/>
      <c r="H89" s="219"/>
    </row>
    <row r="90" spans="1:11" s="218" customFormat="1" ht="15" customHeight="1" x14ac:dyDescent="0.25">
      <c r="A90" s="236"/>
      <c r="B90" s="236"/>
      <c r="C90" s="237"/>
      <c r="F90" s="219"/>
      <c r="G90" s="219"/>
      <c r="H90" s="219"/>
    </row>
    <row r="91" spans="1:11" s="218" customFormat="1" ht="15" customHeight="1" x14ac:dyDescent="0.25">
      <c r="A91" s="236"/>
      <c r="B91" s="236"/>
      <c r="C91" s="237"/>
      <c r="F91" s="219"/>
      <c r="G91" s="219"/>
      <c r="H91" s="219"/>
    </row>
    <row r="92" spans="1:11" s="218" customFormat="1" ht="15" customHeight="1" x14ac:dyDescent="0.25">
      <c r="A92" s="236"/>
      <c r="B92" s="236"/>
      <c r="C92" s="237"/>
      <c r="F92" s="219"/>
      <c r="G92" s="219"/>
      <c r="H92" s="219"/>
    </row>
    <row r="93" spans="1:11" s="218" customFormat="1" ht="15" customHeight="1" x14ac:dyDescent="0.25">
      <c r="A93" s="236"/>
      <c r="B93" s="236"/>
      <c r="C93" s="237"/>
      <c r="F93" s="219"/>
      <c r="G93" s="219"/>
      <c r="H93" s="219"/>
    </row>
    <row r="94" spans="1:11" x14ac:dyDescent="0.25">
      <c r="C94" s="4"/>
      <c r="F94" s="3"/>
      <c r="I94" s="1"/>
    </row>
    <row r="95" spans="1:11" x14ac:dyDescent="0.25">
      <c r="C95" s="4"/>
      <c r="F95" s="3"/>
      <c r="I95" s="1"/>
    </row>
  </sheetData>
  <sheetProtection formatCells="0" formatColumns="0" formatRows="0" insertColumns="0" insertRows="0" insertHyperlinks="0" deleteColumns="0" deleteRows="0" selectLockedCells="1" sort="0" autoFilter="0" pivotTables="0"/>
  <mergeCells count="13">
    <mergeCell ref="F5:K5"/>
    <mergeCell ref="F4:K4"/>
    <mergeCell ref="B8:D9"/>
    <mergeCell ref="F8:G9"/>
    <mergeCell ref="B1:K1"/>
    <mergeCell ref="B2:K2"/>
    <mergeCell ref="F6:K6"/>
    <mergeCell ref="J15:K15"/>
    <mergeCell ref="F11:I11"/>
    <mergeCell ref="F12:I12"/>
    <mergeCell ref="F13:I13"/>
    <mergeCell ref="F15:G15"/>
    <mergeCell ref="H15:I15"/>
  </mergeCells>
  <conditionalFormatting sqref="B16:B84">
    <cfRule type="cellIs" dxfId="21" priority="1" operator="equal">
      <formula>0</formula>
    </cfRule>
  </conditionalFormatting>
  <conditionalFormatting sqref="D16:D84">
    <cfRule type="cellIs" dxfId="20" priority="2" operator="equal">
      <formula>"Tidak dinilai"</formula>
    </cfRule>
  </conditionalFormatting>
  <conditionalFormatting sqref="G27">
    <cfRule type="containsText" dxfId="19" priority="3" operator="containsText" text="TIDAK TERPENUHI">
      <formula>NOT(ISERROR(SEARCH("TIDAK TERPENUHI",G27)))</formula>
    </cfRule>
  </conditionalFormatting>
  <conditionalFormatting sqref="G27">
    <cfRule type="containsText" dxfId="18" priority="4" operator="containsText" text="TERPENUHI">
      <formula>NOT(ISERROR(SEARCH("TERPENUHI",G27)))</formula>
    </cfRule>
  </conditionalFormatting>
  <conditionalFormatting sqref="F11:F13">
    <cfRule type="containsText" dxfId="17" priority="5" operator="containsText" text="TIDAK TERPENUHI">
      <formula>NOT(ISERROR(SEARCH("TIDAK TERPENUHI",F11:F13)))</formula>
    </cfRule>
  </conditionalFormatting>
  <conditionalFormatting sqref="F11:F13">
    <cfRule type="containsText" dxfId="16" priority="6" operator="containsText" text="TERPENUHI">
      <formula>NOT(ISERROR(SEARCH("TERPENUHI",F11:F13)))</formula>
    </cfRule>
  </conditionalFormatting>
  <conditionalFormatting sqref="G32">
    <cfRule type="containsText" dxfId="15" priority="7" operator="containsText" text="TIDAK TERPENUHI">
      <formula>NOT(ISERROR(SEARCH("TIDAK TERPENUHI",G32)))</formula>
    </cfRule>
  </conditionalFormatting>
  <conditionalFormatting sqref="G32">
    <cfRule type="containsText" dxfId="14" priority="8" operator="containsText" text="TERPENUHI">
      <formula>NOT(ISERROR(SEARCH("TERPENUHI",G32)))</formula>
    </cfRule>
  </conditionalFormatting>
  <conditionalFormatting sqref="I33">
    <cfRule type="containsText" dxfId="13" priority="9" operator="containsText" text="TIDAK TERPENUHI">
      <formula>NOT(ISERROR(SEARCH("TIDAK TERPENUHI",I33)))</formula>
    </cfRule>
  </conditionalFormatting>
  <conditionalFormatting sqref="I33">
    <cfRule type="containsText" dxfId="12" priority="10" operator="containsText" text="TERPENUHI">
      <formula>NOT(ISERROR(SEARCH("TERPENUHI",I33)))</formula>
    </cfRule>
  </conditionalFormatting>
  <conditionalFormatting sqref="K33">
    <cfRule type="containsText" dxfId="11" priority="11" operator="containsText" text="TIDAK TERPENUHI">
      <formula>NOT(ISERROR(SEARCH("TIDAK TERPENUHI",K33)))</formula>
    </cfRule>
  </conditionalFormatting>
  <conditionalFormatting sqref="K33">
    <cfRule type="containsText" dxfId="10" priority="12" operator="containsText" text="TERPENUHI">
      <formula>NOT(ISERROR(SEARCH("TERPENUHI",K33)))</formula>
    </cfRule>
  </conditionalFormatting>
  <conditionalFormatting sqref="G53">
    <cfRule type="containsText" dxfId="9" priority="13" operator="containsText" text="TIDAK TERPENUHI">
      <formula>NOT(ISERROR(SEARCH("TIDAK TERPENUHI",G53)))</formula>
    </cfRule>
  </conditionalFormatting>
  <conditionalFormatting sqref="G53">
    <cfRule type="containsText" dxfId="8" priority="14" operator="containsText" text="TERPENUHI">
      <formula>NOT(ISERROR(SEARCH("TERPENUHI",G53)))</formula>
    </cfRule>
  </conditionalFormatting>
  <conditionalFormatting sqref="I34">
    <cfRule type="containsText" dxfId="7" priority="15" operator="containsText" text="TIDAK TERPENUHI">
      <formula>NOT(ISERROR(SEARCH("TIDAK TERPENUHI",I34)))</formula>
    </cfRule>
  </conditionalFormatting>
  <conditionalFormatting sqref="I34">
    <cfRule type="containsText" dxfId="6" priority="16" operator="containsText" text="TERPENUHI">
      <formula>NOT(ISERROR(SEARCH("TERPENUHI",I34)))</formula>
    </cfRule>
  </conditionalFormatting>
  <conditionalFormatting sqref="K34">
    <cfRule type="containsText" dxfId="5" priority="17" operator="containsText" text="TIDAK TERPENUHI">
      <formula>NOT(ISERROR(SEARCH("TIDAK TERPENUHI",K34)))</formula>
    </cfRule>
  </conditionalFormatting>
  <conditionalFormatting sqref="K34">
    <cfRule type="containsText" dxfId="4" priority="18" operator="containsText" text="TERPENUHI">
      <formula>NOT(ISERROR(SEARCH("TERPENUHI",K34)))</formula>
    </cfRule>
  </conditionalFormatting>
  <conditionalFormatting sqref="I75:I76">
    <cfRule type="containsText" dxfId="3" priority="19" operator="containsText" text="TIDAK TERPENUHI">
      <formula>NOT(ISERROR(SEARCH("TIDAK TERPENUHI",I75:I76)))</formula>
    </cfRule>
  </conditionalFormatting>
  <conditionalFormatting sqref="I75:I76">
    <cfRule type="containsText" dxfId="2" priority="20" operator="containsText" text="TERPENUHI">
      <formula>NOT(ISERROR(SEARCH("TERPENUHI",I75:I76)))</formula>
    </cfRule>
  </conditionalFormatting>
  <conditionalFormatting sqref="K75:K76">
    <cfRule type="containsText" dxfId="1" priority="21" operator="containsText" text="TIDAK TERPENUHI">
      <formula>NOT(ISERROR(SEARCH("TIDAK TERPENUHI",K75:K76)))</formula>
    </cfRule>
  </conditionalFormatting>
  <conditionalFormatting sqref="K75:K76">
    <cfRule type="containsText" dxfId="0" priority="22" operator="containsText" text="TERPENUHI">
      <formula>NOT(ISERROR(SEARCH("TERPENUHI",K75:K76)))</formula>
    </cfRule>
  </conditionalFormatting>
  <printOptions horizontalCentered="1"/>
  <pageMargins left="0.78740157480314998" right="0.59055118110236005" top="0.98425196850394003" bottom="0.78740157480314998" header="0.39370078740157" footer="0.39370078740157"/>
  <pageSetup paperSize="9" fitToHeight="0" orientation="portrait"/>
  <headerFooter>
    <oddFooter>&amp;LNilai AL&amp;CAkreditasi Program Studi - Program Sarjana&amp;R&amp;P/&amp;N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Menu</vt:lpstr>
      <vt:lpstr>Kertas Kerja</vt:lpstr>
      <vt:lpstr>Berita Acara AL</vt:lpstr>
      <vt:lpstr>Rekomendasi</vt:lpstr>
      <vt:lpstr>Nilai AL</vt:lpstr>
      <vt:lpstr>'Berita Acara AL'!Print_Area</vt:lpstr>
      <vt:lpstr>'Nilai AL'!Print_Area</vt:lpstr>
      <vt:lpstr>Rekomendasi!Print_Area</vt:lpstr>
      <vt:lpstr>'Berita Acara AL'!Print_Titles</vt:lpstr>
      <vt:lpstr>'Nilai AL'!Print_Titles</vt:lpstr>
    </vt:vector>
  </TitlesOfParts>
  <Company>NTU</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Radon Dhelika</dc:creator>
  <cp:lastModifiedBy>Lenovo 05</cp:lastModifiedBy>
  <dcterms:created xsi:type="dcterms:W3CDTF">2009-07-06T01:37:37Z</dcterms:created>
  <dcterms:modified xsi:type="dcterms:W3CDTF">2020-01-08T07:15:47Z</dcterms:modified>
</cp:coreProperties>
</file>